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24lD3W97mYLn9VVvGK7ZQeF2OCGgvzhyIZcnjPlRxNQ7YIUwZK2sS4mBrC13B8/E/6srnwarMlbctRFZIdb0A==" workbookSaltValue="zCAEyZEF5Q9Vu+JQ8JU5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F10" i="10"/>
  <c r="N11" i="11"/>
  <c r="ES19" i="8"/>
  <c r="C18" i="7"/>
  <c r="S19" i="13"/>
  <c r="AG19" i="19"/>
  <c r="F9" i="11"/>
  <c r="CI19" i="8"/>
  <c r="AE19" i="8"/>
  <c r="EP19" i="8"/>
  <c r="ER19" i="13"/>
  <c r="AL13" i="16"/>
  <c r="BL9" i="11"/>
  <c r="P17" i="17"/>
  <c r="BK9" i="11"/>
  <c r="S13" i="16"/>
  <c r="H18" i="16"/>
  <c r="P13" i="16"/>
  <c r="AN13" i="20"/>
  <c r="Z13" i="17"/>
  <c r="AO17" i="11"/>
  <c r="M13" i="2"/>
  <c r="C17" i="6"/>
  <c r="AO12" i="11"/>
  <c r="AC10" i="11"/>
  <c r="T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B18" i="2"/>
  <c r="B16" i="6"/>
  <c r="AO16" i="11"/>
  <c r="AJ19" i="8"/>
  <c r="E18" i="12"/>
  <c r="AW18" i="21"/>
  <c r="H12" i="7"/>
  <c r="AO12" i="17"/>
  <c r="AB19" i="8"/>
  <c r="Z19" i="8"/>
  <c r="H13" i="12"/>
  <c r="AY13" i="8"/>
  <c r="BG10" i="8"/>
  <c r="T10" i="21"/>
  <c r="V10" i="21" s="1"/>
  <c r="C19" i="3"/>
  <c r="L12" i="14"/>
  <c r="E11" i="6"/>
  <c r="F9" i="2"/>
  <c r="AO9" i="11"/>
  <c r="H12" i="2"/>
  <c r="M18" i="2"/>
  <c r="N18" i="2"/>
  <c r="AL11" i="11"/>
  <c r="B9" i="6"/>
  <c r="BB13" i="13"/>
  <c r="F15" i="17"/>
  <c r="C10" i="6"/>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AQ16" i="17"/>
  <c r="D19" i="12"/>
  <c r="F19" i="7"/>
  <c r="AL18" i="11"/>
  <c r="K16" i="12"/>
  <c r="D19" i="5"/>
  <c r="K12" i="12"/>
  <c r="I10" i="12"/>
  <c r="B19" i="7"/>
  <c r="BW21" i="20"/>
  <c r="BK13" i="11"/>
  <c r="P16" i="11"/>
  <c r="F18" i="20"/>
  <c r="F21" i="20" s="1"/>
  <c r="AM13" i="11"/>
  <c r="Y13" i="11"/>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6"/>
  <c r="AG20" i="16"/>
  <c r="M20" i="11"/>
  <c r="AI20" i="11"/>
  <c r="Z20" i="17"/>
  <c r="F20" i="12"/>
  <c r="R20" i="11"/>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K20" i="12"/>
  <c r="U20" i="16"/>
  <c r="E20" i="17"/>
  <c r="AD20" i="16"/>
  <c r="AG20" i="21"/>
  <c r="AE20" i="17"/>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<sst xmlns="http://schemas.openxmlformats.org/spreadsheetml/2006/main" count="2102" uniqueCount="918">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</sst>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LKSniKrxnmBnl3uzeojPh627K4V+Xs/PEJ4j2XE/uzIPSYzTbsz37vF2oS2pWqmTcKXkcAmnt54iNsONmzVsQ==" saltValue="R6pgXMNs5/J9g0uherwf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3</v>
      </c>
      <c r="F10" s="225">
        <f>IF(ISNUMBER(Datos!K10),Datos!K10," - ")</f>
        <v>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1.5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37.304347826086953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3</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280</v>
      </c>
      <c r="D16" s="224">
        <f>IF(ISNUMBER(IF(D_I="SI",Datos!I16,Datos!I16+Datos!AC16)),IF(D_I="SI",Datos!I16,Datos!I16+Datos!AC16)," - ")</f>
        <v>277</v>
      </c>
      <c r="E16" s="225">
        <f>IF(ISNUMBER(IF(D_I="SI",Datos!J16,Datos!J16+Datos!AD16)),IF(D_I="SI",Datos!J16,Datos!J16+Datos!AD16)," - ")</f>
        <v>273</v>
      </c>
      <c r="F16" s="225">
        <f>IF(ISNUMBER(IF(D_I="SI",Datos!K16,Datos!K16+Datos!AE16)),IF(D_I="SI",Datos!K16,Datos!K16+Datos!AE16)," - ")</f>
        <v>240</v>
      </c>
      <c r="G16" s="1033" t="str">
        <f>IF(Datos!E16&lt;&gt;"",Datos!E16,Datos!D16)</f>
        <v>04</v>
      </c>
      <c r="H16" s="226">
        <f>IF(ISNUMBER(IF(D_I="SI",Datos!L16,Datos!L16+Datos!AF16)),IF(D_I="SI",Datos!L16,Datos!L16+Datos!AF16)," - ")</f>
        <v>313</v>
      </c>
      <c r="I16" s="1043" t="str">
        <f>IF(ISNUMBER(Datos!AS16/Datos!BM16),Datos!AS16/Datos!BM16," - ")</f>
        <v xml:space="preserve"> - </v>
      </c>
      <c r="J16" s="1044">
        <f>IF(ISNUMBER(Datos!BY16/Datos!CN16),Datos!BY16/Datos!CN16," - ")</f>
        <v>0</v>
      </c>
      <c r="K16" s="229">
        <f t="shared" si="3"/>
        <v>0.11785714285714285</v>
      </c>
      <c r="L16" s="1024">
        <f>IF(ISNUMBER(NºAsuntos!I16/NºAsuntos!G16),(NºAsuntos!I16/NºAsuntos!G16)*11," - ")</f>
        <v>14.345833333333333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4</v>
      </c>
      <c r="F17" s="225">
        <f>IF(ISNUMBER(IF(D_I="SI",Datos!K17,Datos!K17+Datos!AE17)),IF(D_I="SI",Datos!K17,Datos!K17+Datos!AE17)," - ")</f>
        <v>9</v>
      </c>
      <c r="G17" s="1033" t="str">
        <f>IF(Datos!E17&lt;&gt;"",Datos!E17,Datos!D17)</f>
        <v>37</v>
      </c>
      <c r="H17" s="226">
        <f>IF(ISNUMBER(IF(D_I="SI",Datos!L17,Datos!L17+Datos!AF17)),IF(D_I="SI",Datos!L17,Datos!L17+Datos!AF17)," - ")</f>
        <v>11</v>
      </c>
      <c r="I17" s="1043" t="str">
        <f>IF(ISNUMBER(Datos!AS17/Datos!BM17),Datos!AS17/Datos!BM17," - ")</f>
        <v xml:space="preserve"> - </v>
      </c>
      <c r="J17" s="1044" t="str">
        <f>IF(ISNUMBER((Datos!BY17+Datos!BZ17)/Datos!CN17),(Datos!BY17+Datos!BZ17)/Datos!CN17," - ")</f>
        <v xml:space="preserve"> - </v>
      </c>
      <c r="K17" s="229">
        <f t="shared" si="3"/>
        <v>-0.3125</v>
      </c>
      <c r="L17" s="1024">
        <f>IF(ISNUMBER(NºAsuntos!I17/NºAsuntos!G17),(NºAsuntos!I17/NºAsuntos!G17)*11," - ")</f>
        <v>13.444444444444446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296</v>
      </c>
      <c r="D18" s="1048">
        <f>SUBTOTAL(9,D15:D17)</f>
        <v>293</v>
      </c>
      <c r="E18" s="1049">
        <f>SUBTOTAL(9,E15:E17)</f>
        <v>277</v>
      </c>
      <c r="F18" s="1049">
        <f>SUBTOTAL(9,F15:F17)</f>
        <v>249</v>
      </c>
      <c r="G18" s="1051" t="str">
        <f ca="1">INDIRECT(CONCATENATE("G",ROW()-1))</f>
        <v>37</v>
      </c>
      <c r="H18" s="1052">
        <f ca="1">SUMIF(G$14:G17,G18,H$14:H17)</f>
        <v>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298</v>
      </c>
      <c r="D19" s="1070">
        <f>SUBTOTAL(9,D9:D18)</f>
        <v>295</v>
      </c>
      <c r="E19" s="1071">
        <f>SUBTOTAL(9,E9:E18)</f>
        <v>280</v>
      </c>
      <c r="F19" s="1071">
        <f>SUBTOTAL(9,F9:F18)</f>
        <v>249</v>
      </c>
      <c r="G19" s="1072"/>
      <c r="H19" s="1073">
        <f ca="1">SUMIF(B9:B18,"TOTAL",H9:H18)</f>
        <v>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O5rDKbvG21UDsx98++TaSJZkp5ilNyblqTDs5pckzHX3rHuxTlMn4dLnVNDDeDvEqZ/LbK7BZkNXv0ThCos7w==" saltValue="AjjWLsJLdt9AVNoMX7R6y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YTqGMr0moZIjZgaWph7O5y1BS28Jbk+R838kkdLBtIr6QfB5zU9y+ulqoUaF4C4GMw6UL5zIbjBEtXXItNWHQ==" saltValue="e2urwS89K5K1PX6f9taW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3</v>
      </c>
      <c r="K10" s="180">
        <v>0</v>
      </c>
      <c r="L10" s="180">
        <v>5</v>
      </c>
      <c r="M10" s="180">
        <v>0</v>
      </c>
      <c r="N10" s="180">
        <v>0</v>
      </c>
      <c r="O10" s="180">
        <v>0</v>
      </c>
      <c r="P10" s="180">
        <v>0</v>
      </c>
      <c r="Q10" s="180">
        <v>0</v>
      </c>
      <c r="R10" s="180">
        <v>0</v>
      </c>
      <c r="S10" s="180">
        <v>1</v>
      </c>
      <c r="T10" s="180">
        <v>1</v>
      </c>
      <c r="U10" s="180">
        <v>1</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468</v>
      </c>
      <c r="J12" s="182">
        <v>190</v>
      </c>
      <c r="K12" s="182">
        <v>126</v>
      </c>
      <c r="L12" s="182">
        <v>532</v>
      </c>
      <c r="M12" s="182">
        <v>11</v>
      </c>
      <c r="N12" s="182">
        <v>20</v>
      </c>
      <c r="O12" s="180">
        <v>133</v>
      </c>
      <c r="P12" s="182">
        <v>114</v>
      </c>
      <c r="Q12" s="182">
        <v>74</v>
      </c>
      <c r="R12" s="182">
        <v>1139</v>
      </c>
      <c r="S12" s="182">
        <v>756</v>
      </c>
      <c r="T12" s="182">
        <v>246</v>
      </c>
      <c r="U12" s="182">
        <v>333</v>
      </c>
      <c r="V12" s="182">
        <v>669</v>
      </c>
      <c r="W12" s="182">
        <v>74</v>
      </c>
      <c r="X12" s="188">
        <v>97</v>
      </c>
      <c r="Y12" s="190">
        <v>19</v>
      </c>
      <c r="Z12" s="180">
        <v>30</v>
      </c>
      <c r="AA12" s="180">
        <v>35</v>
      </c>
      <c r="AB12" s="180">
        <v>14</v>
      </c>
      <c r="AC12" s="182">
        <v>0</v>
      </c>
      <c r="AD12" s="182">
        <v>0</v>
      </c>
      <c r="AE12" s="182">
        <v>0</v>
      </c>
      <c r="AF12" s="188">
        <v>0</v>
      </c>
      <c r="AG12" s="201">
        <v>10</v>
      </c>
      <c r="AH12" s="182">
        <v>28</v>
      </c>
      <c r="AI12" s="182">
        <v>33</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766</v>
      </c>
      <c r="AZ12" s="127">
        <f t="shared" si="1"/>
        <v>274</v>
      </c>
      <c r="BA12" s="127">
        <f t="shared" si="1"/>
        <v>366</v>
      </c>
      <c r="BB12" s="127">
        <f t="shared" si="1"/>
        <v>674</v>
      </c>
      <c r="BC12" s="125">
        <f>IF(ISNUMBER(X12),X12," - ")</f>
        <v>97</v>
      </c>
      <c r="BD12" s="126">
        <f t="shared" si="2"/>
        <v>1.3357664233576643</v>
      </c>
      <c r="BE12" s="127">
        <f t="shared" si="3"/>
        <v>1.8415300546448088</v>
      </c>
      <c r="BF12" s="127">
        <f t="shared" si="4"/>
        <v>0.2650273224043716</v>
      </c>
      <c r="BG12" s="195">
        <f t="shared" si="5"/>
        <v>2.8415300546448088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470</v>
      </c>
      <c r="J13" s="183">
        <f t="shared" si="6"/>
        <v>193</v>
      </c>
      <c r="K13" s="183">
        <f t="shared" si="6"/>
        <v>126</v>
      </c>
      <c r="L13" s="183">
        <f t="shared" si="6"/>
        <v>537</v>
      </c>
      <c r="M13" s="183">
        <f t="shared" si="6"/>
        <v>11</v>
      </c>
      <c r="N13" s="183">
        <f t="shared" si="6"/>
        <v>20</v>
      </c>
      <c r="O13" s="183">
        <f t="shared" si="6"/>
        <v>133</v>
      </c>
      <c r="P13" s="183">
        <f t="shared" si="6"/>
        <v>114</v>
      </c>
      <c r="Q13" s="183">
        <f t="shared" si="6"/>
        <v>74</v>
      </c>
      <c r="R13" s="183">
        <f t="shared" si="6"/>
        <v>1139</v>
      </c>
      <c r="S13" s="183">
        <f t="shared" si="6"/>
        <v>757</v>
      </c>
      <c r="T13" s="183">
        <f t="shared" si="6"/>
        <v>247</v>
      </c>
      <c r="U13" s="183">
        <f t="shared" si="6"/>
        <v>334</v>
      </c>
      <c r="V13" s="183">
        <f t="shared" si="6"/>
        <v>670</v>
      </c>
      <c r="W13" s="183">
        <f t="shared" si="6"/>
        <v>74</v>
      </c>
      <c r="X13" s="183">
        <f t="shared" si="6"/>
        <v>97</v>
      </c>
      <c r="Y13" s="183">
        <f t="shared" si="6"/>
        <v>19</v>
      </c>
      <c r="Z13" s="183">
        <f t="shared" si="6"/>
        <v>30</v>
      </c>
      <c r="AA13" s="183">
        <f t="shared" si="6"/>
        <v>35</v>
      </c>
      <c r="AB13" s="183">
        <f t="shared" si="6"/>
        <v>14</v>
      </c>
      <c r="AC13" s="183">
        <f t="shared" si="6"/>
        <v>0</v>
      </c>
      <c r="AD13" s="183">
        <f t="shared" si="6"/>
        <v>0</v>
      </c>
      <c r="AE13" s="183">
        <f t="shared" si="6"/>
        <v>0</v>
      </c>
      <c r="AF13" s="183">
        <f>SUBTOTAL(9,AF9:AF12)</f>
        <v>0</v>
      </c>
      <c r="AG13" s="183">
        <f t="shared" ref="AG13:AT13" si="7">SUBTOTAL(9,AG8:AG12)</f>
        <v>10</v>
      </c>
      <c r="AH13" s="183">
        <f t="shared" si="7"/>
        <v>28</v>
      </c>
      <c r="AI13" s="183">
        <f t="shared" si="7"/>
        <v>33</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767</v>
      </c>
      <c r="AZ13" s="183">
        <f>SUBTOTAL(9,AZ8:AZ12)</f>
        <v>275</v>
      </c>
      <c r="BA13" s="183">
        <f>SUBTOTAL(9,BA8:BA12)</f>
        <v>367</v>
      </c>
      <c r="BB13" s="183">
        <f>SUBTOTAL(9,BB8:BB12)</f>
        <v>675</v>
      </c>
      <c r="BC13" s="183">
        <f>SUBTOTAL(9,BC8:BC12)</f>
        <v>97</v>
      </c>
      <c r="BD13" s="204">
        <f>IF(ISNUMBER(BA13/AZ13),BA13/AZ13," - ")</f>
        <v>1.3345454545454545</v>
      </c>
      <c r="BE13" s="205">
        <f>IF(ISNUMBER(BB13/BA13),BB13/BA13, " - ")</f>
        <v>1.8392370572207084</v>
      </c>
      <c r="BF13" s="205">
        <f>IF(ISNUMBER(BC13/BA13),BC13/BA13, " - ")</f>
        <v>0.26430517711171664</v>
      </c>
      <c r="BG13" s="206">
        <f>IF(ISNUMBER((AY13+AZ13)/BA13),(AY13+AZ13)/BA13," - ")</f>
        <v>2.8392370572207084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277</v>
      </c>
      <c r="J16" s="182">
        <v>273</v>
      </c>
      <c r="K16" s="182">
        <v>240</v>
      </c>
      <c r="L16" s="182">
        <v>313</v>
      </c>
      <c r="M16" s="182">
        <v>13</v>
      </c>
      <c r="N16" s="182">
        <v>206</v>
      </c>
      <c r="O16" s="180">
        <v>4</v>
      </c>
      <c r="P16" s="182">
        <v>3</v>
      </c>
      <c r="Q16" s="182">
        <v>5</v>
      </c>
      <c r="R16" s="182">
        <v>35</v>
      </c>
      <c r="S16" s="182">
        <v>302</v>
      </c>
      <c r="T16" s="182">
        <v>380</v>
      </c>
      <c r="U16" s="182">
        <v>360</v>
      </c>
      <c r="V16" s="182">
        <v>327</v>
      </c>
      <c r="W16" s="182">
        <v>26</v>
      </c>
      <c r="X16" s="188">
        <v>266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302</v>
      </c>
      <c r="AZ16" s="127">
        <f t="shared" si="9"/>
        <v>380</v>
      </c>
      <c r="BA16" s="127">
        <f t="shared" si="9"/>
        <v>360</v>
      </c>
      <c r="BB16" s="127">
        <f t="shared" si="9"/>
        <v>327</v>
      </c>
      <c r="BC16" s="125">
        <f>IF(ISNUMBER(W16),W16," - ")</f>
        <v>26</v>
      </c>
      <c r="BD16" s="126">
        <f t="shared" ref="BD16" si="11">IF(ISNUMBER(BA16/AZ16),BA16/AZ16," - ")</f>
        <v>0.94736842105263153</v>
      </c>
      <c r="BE16" s="127">
        <f t="shared" ref="BE16" si="12">IF(ISNUMBER(BB16/BA16),BB16/BA16, " - ")</f>
        <v>0.90833333333333333</v>
      </c>
      <c r="BF16" s="127">
        <f t="shared" ref="BF16" si="13">IF(ISNUMBER(BC16/BA16),BC16/BA16, " - ")</f>
        <v>7.2222222222222215E-2</v>
      </c>
      <c r="BG16" s="195">
        <f t="shared" si="10"/>
        <v>1.8944444444444444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4</v>
      </c>
      <c r="K17" s="182">
        <v>9</v>
      </c>
      <c r="L17" s="182">
        <v>11</v>
      </c>
      <c r="M17" s="182">
        <v>9</v>
      </c>
      <c r="N17" s="182">
        <v>3</v>
      </c>
      <c r="O17" s="182">
        <v>0</v>
      </c>
      <c r="P17" s="182">
        <v>0</v>
      </c>
      <c r="Q17" s="182">
        <v>0</v>
      </c>
      <c r="R17" s="182">
        <v>0</v>
      </c>
      <c r="S17" s="182">
        <v>14</v>
      </c>
      <c r="T17" s="182">
        <v>15</v>
      </c>
      <c r="U17" s="182">
        <v>16</v>
      </c>
      <c r="V17" s="182">
        <v>13</v>
      </c>
      <c r="W17" s="182">
        <v>6</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15</v>
      </c>
      <c r="BA17" s="129">
        <f t="shared" si="14"/>
        <v>16</v>
      </c>
      <c r="BB17" s="129">
        <f t="shared" si="14"/>
        <v>13</v>
      </c>
      <c r="BC17" s="125">
        <f>IF(ISNUMBER(W17),W17," - ")</f>
        <v>6</v>
      </c>
      <c r="BD17" s="126">
        <f>IF(ISNUMBER(BA17/AZ17),BA17/AZ17," - ")</f>
        <v>1.0666666666666667</v>
      </c>
      <c r="BE17" s="127">
        <f>IF(ISNUMBER(BB17/BA17),BB17/BA17, " - ")</f>
        <v>0.8125</v>
      </c>
      <c r="BF17" s="127">
        <f>IF(ISNUMBER(BC17/BA17),BC17/BA17, " - ")</f>
        <v>0.375</v>
      </c>
      <c r="BG17" s="195">
        <f>IF(ISNUMBER((AY17+AZ17)/BA17),(AY17+AZ17)/BA17," - ")</f>
        <v>1.8125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293</v>
      </c>
      <c r="J18" s="183">
        <f t="shared" si="15"/>
        <v>277</v>
      </c>
      <c r="K18" s="183">
        <f t="shared" si="15"/>
        <v>249</v>
      </c>
      <c r="L18" s="183">
        <f t="shared" si="15"/>
        <v>324</v>
      </c>
      <c r="M18" s="183">
        <f t="shared" si="15"/>
        <v>22</v>
      </c>
      <c r="N18" s="183">
        <f t="shared" si="15"/>
        <v>209</v>
      </c>
      <c r="O18" s="183">
        <f t="shared" si="15"/>
        <v>4</v>
      </c>
      <c r="P18" s="183">
        <f t="shared" si="15"/>
        <v>3</v>
      </c>
      <c r="Q18" s="183">
        <f t="shared" si="15"/>
        <v>5</v>
      </c>
      <c r="R18" s="183">
        <f t="shared" si="15"/>
        <v>35</v>
      </c>
      <c r="S18" s="183">
        <f t="shared" si="15"/>
        <v>316</v>
      </c>
      <c r="T18" s="183">
        <f t="shared" si="15"/>
        <v>395</v>
      </c>
      <c r="U18" s="183">
        <f t="shared" si="15"/>
        <v>376</v>
      </c>
      <c r="V18" s="183">
        <f t="shared" si="15"/>
        <v>340</v>
      </c>
      <c r="W18" s="183">
        <f t="shared" si="15"/>
        <v>32</v>
      </c>
      <c r="X18" s="183">
        <f t="shared" si="15"/>
        <v>273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316</v>
      </c>
      <c r="AZ18" s="183">
        <f>SUBTOTAL(9,AZ14:AZ17)</f>
        <v>395</v>
      </c>
      <c r="BA18" s="183">
        <f>SUBTOTAL(9,BA14:BA17)</f>
        <v>376</v>
      </c>
      <c r="BB18" s="183">
        <f>SUBTOTAL(9,BB14:BB17)</f>
        <v>340</v>
      </c>
      <c r="BC18" s="183">
        <f>SUBTOTAL(9,BC14:BC17)</f>
        <v>32</v>
      </c>
      <c r="BD18" s="204">
        <f>IF(ISNUMBER(BA18/AZ18),BA18/AZ18," - ")</f>
        <v>0.95189873417721516</v>
      </c>
      <c r="BE18" s="205">
        <f>IF(ISNUMBER(BB18/BA18),BB18/BA18, " - ")</f>
        <v>0.9042553191489362</v>
      </c>
      <c r="BF18" s="205">
        <f>IF(ISNUMBER(BC18/BA18),BC18/BA18, " - ")</f>
        <v>8.5106382978723402E-2</v>
      </c>
      <c r="BG18" s="206">
        <f>IF(ISNUMBER((AY18+AZ18)/BA18),(AY18+AZ18)/BA18," - ")</f>
        <v>1.8909574468085106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763</v>
      </c>
      <c r="J19" s="134">
        <f t="shared" si="18"/>
        <v>470</v>
      </c>
      <c r="K19" s="134">
        <f t="shared" si="18"/>
        <v>375</v>
      </c>
      <c r="L19" s="134">
        <f t="shared" si="18"/>
        <v>861</v>
      </c>
      <c r="M19" s="134">
        <f t="shared" si="18"/>
        <v>33</v>
      </c>
      <c r="N19" s="134">
        <f t="shared" si="18"/>
        <v>229</v>
      </c>
      <c r="O19" s="134">
        <f t="shared" si="18"/>
        <v>137</v>
      </c>
      <c r="P19" s="134">
        <f t="shared" si="18"/>
        <v>117</v>
      </c>
      <c r="Q19" s="134">
        <f t="shared" si="18"/>
        <v>79</v>
      </c>
      <c r="R19" s="134">
        <f t="shared" si="18"/>
        <v>1174</v>
      </c>
      <c r="S19" s="134">
        <f t="shared" si="18"/>
        <v>1073</v>
      </c>
      <c r="T19" s="134">
        <f t="shared" si="18"/>
        <v>642</v>
      </c>
      <c r="U19" s="134">
        <f t="shared" si="18"/>
        <v>710</v>
      </c>
      <c r="V19" s="134">
        <f t="shared" si="18"/>
        <v>1010</v>
      </c>
      <c r="W19" s="134">
        <f t="shared" si="18"/>
        <v>106</v>
      </c>
      <c r="X19" s="134">
        <f t="shared" si="18"/>
        <v>370</v>
      </c>
      <c r="Y19" s="134">
        <f t="shared" si="18"/>
        <v>19</v>
      </c>
      <c r="Z19" s="134">
        <f t="shared" si="18"/>
        <v>30</v>
      </c>
      <c r="AA19" s="134">
        <f t="shared" si="18"/>
        <v>35</v>
      </c>
      <c r="AB19" s="134">
        <f t="shared" si="18"/>
        <v>14</v>
      </c>
      <c r="AC19" s="134">
        <f t="shared" si="18"/>
        <v>0</v>
      </c>
      <c r="AD19" s="134">
        <f t="shared" si="18"/>
        <v>0</v>
      </c>
      <c r="AE19" s="134">
        <f t="shared" si="18"/>
        <v>0</v>
      </c>
      <c r="AF19" s="134">
        <f t="shared" si="18"/>
        <v>0</v>
      </c>
      <c r="AG19" s="134">
        <f t="shared" si="18"/>
        <v>10</v>
      </c>
      <c r="AH19" s="134">
        <f t="shared" si="18"/>
        <v>28</v>
      </c>
      <c r="AI19" s="134">
        <f t="shared" si="18"/>
        <v>33</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1083</v>
      </c>
      <c r="AZ19" s="134">
        <f>SUBTOTAL(9,AZ9:AZ18)</f>
        <v>670</v>
      </c>
      <c r="BA19" s="134">
        <f>SUBTOTAL(9,BA9:BA18)</f>
        <v>743</v>
      </c>
      <c r="BB19" s="134">
        <f>SUBTOTAL(9,BB9:BB18)</f>
        <v>1015</v>
      </c>
      <c r="BC19" s="135">
        <f>SUBTOTAL(9,BC9:BC18)</f>
        <v>129</v>
      </c>
      <c r="BD19" s="212">
        <f>IF(ISNUMBER(BA19/AZ19),BA19/AZ19," - ")</f>
        <v>1.1089552238805971</v>
      </c>
      <c r="BE19" s="209">
        <f>IF(ISNUMBER(BB19/BA19),BB19/BA19, " - ")</f>
        <v>1.3660834454912516</v>
      </c>
      <c r="BF19" s="209">
        <f>IF(ISNUMBER(BC19/BA19),BC19/BA19, " - ")</f>
        <v>0.17362045760430686</v>
      </c>
      <c r="BG19" s="135">
        <f>IF(ISNUMBER((AY19+AZ19)/BA19),(AY19+AZ19)/BA19," - ")</f>
        <v>2.3593539703903095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skUkXRpi1a64IdMiqBvEvDtZMlmcahhGj75wV71pcg+iLQzBAxGTI6W/N6ramCgxgrXCv67VIwPcjP68ImXKQ==" saltValue="od0umJnIKs3sWImgh0fb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CS576pUvPUwpMwbojhzX6PkUAx3d7Z2sUfuetX0ICAJ7L9gCdtsbPIrJ5dLBtK3TkXa4STZcHn9jEMiiHHh1w==" saltValue="J0poAXFurGaOF/AmoM5L2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LLERENA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114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1139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v>
      </c>
      <c r="BD12" s="228">
        <f>IF(ISNUMBER(Datos!N12),Datos!N12," - ")</f>
        <v>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0.73181818181818181</v>
      </c>
      <c r="BH12" s="259">
        <f>IF(ISNUMBER(((IF(J_V="SI",Datos!L12/Datos!K12,(Datos!L12+Datos!AB12)/(Datos!K12+Datos!AA12)))*11)/factor_trimestre),((IF(J_V="SI",Datos!L12/Datos!K12,(Datos!L12+Datos!AB12)/(Datos!K12+Datos!AA12)))*11)/factor_trimestre," - ")</f>
        <v>10.17391304347826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3.6396724294813464E-2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30</v>
      </c>
      <c r="O13" s="899">
        <f t="shared" si="0"/>
        <v>0</v>
      </c>
      <c r="P13" s="899">
        <f t="shared" si="0"/>
        <v>0</v>
      </c>
      <c r="Q13" s="898">
        <f t="shared" si="0"/>
        <v>114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74</v>
      </c>
      <c r="AD13" s="898">
        <f t="shared" si="1"/>
        <v>0</v>
      </c>
      <c r="AE13" s="898">
        <f t="shared" si="1"/>
        <v>0</v>
      </c>
      <c r="AF13" s="898">
        <f t="shared" si="1"/>
        <v>5</v>
      </c>
      <c r="AG13" s="898">
        <f t="shared" si="1"/>
        <v>0</v>
      </c>
      <c r="AH13" s="898">
        <f t="shared" si="1"/>
        <v>14</v>
      </c>
      <c r="AI13" s="898">
        <f t="shared" si="1"/>
        <v>0</v>
      </c>
      <c r="AJ13" s="898">
        <f t="shared" si="1"/>
        <v>0</v>
      </c>
      <c r="AK13" s="898">
        <f t="shared" si="1"/>
        <v>0</v>
      </c>
      <c r="AL13" s="898">
        <f t="shared" si="1"/>
        <v>0</v>
      </c>
      <c r="AM13" s="898">
        <f t="shared" si="1"/>
        <v>1139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v>
      </c>
      <c r="BD13" s="898">
        <f t="shared" si="1"/>
        <v>20</v>
      </c>
      <c r="BE13" s="898">
        <f t="shared" si="1"/>
        <v>0</v>
      </c>
      <c r="BF13" s="898">
        <f t="shared" si="1"/>
        <v>0</v>
      </c>
      <c r="BG13" s="898">
        <f>IF(ISNUMBER(Datos!K13/Datos!J13),Datos!K13/Datos!J13," - ")</f>
        <v>0.65284974093264247</v>
      </c>
      <c r="BH13" s="902">
        <f>IF(ISNUMBER(((Datos!L13/Datos!K13)*11)/factor_trimestre),((Datos!L13/Datos!K13)*11)/factor_trimestre," - ")</f>
        <v>12.785714285714286</v>
      </c>
      <c r="BI13" s="898">
        <f>IF(ISNUMBER('Resol  Asuntos'!D13/NºAsuntos!G13),'Resol  Asuntos'!D13/NºAsuntos!G13," - ")</f>
        <v>6.8322981366459631E-2</v>
      </c>
      <c r="BJ13" s="898" t="str">
        <f>IF(ISNUMBER(Datos!CI13/Datos!CJ13),Datos!CI13/Datos!CJ13," - ")</f>
        <v xml:space="preserve"> - </v>
      </c>
      <c r="BK13" s="898">
        <f>SUBTOTAL(9,BK8:BK12)</f>
        <v>0</v>
      </c>
      <c r="BL13" s="898">
        <f>IF(ISNUMBER((I13-AB13+L13)/(F13)),(I13-AB13+L13)/(F13)," - ")</f>
        <v>0</v>
      </c>
      <c r="BM13" s="903">
        <f>SUBTOTAL(9,BM9:BM12)</f>
        <v>3.6396724294813464E-2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280</v>
      </c>
      <c r="G16" s="597">
        <f>IF(ISNUMBER(IF(D_I="SI",Datos!I16,Datos!I16+Datos!AC16)),IF(D_I="SI",Datos!I16,Datos!I16+Datos!AC16)," - ")</f>
        <v>277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240</v>
      </c>
      <c r="AC16" s="225">
        <f>IF(ISNUMBER(Datos!Q16),Datos!Q16," - ")</f>
        <v>5</v>
      </c>
      <c r="AD16" s="333"/>
      <c r="AE16" s="483"/>
      <c r="AF16" s="595">
        <f>IF(ISNUMBER(IF(D_I="SI",Datos!L16,Datos!L16+Datos!AF16)),IF(D_I="SI",Datos!L16,Datos!L16+Datos!AF16)," - ")</f>
        <v>313</v>
      </c>
      <c r="AG16" s="333"/>
      <c r="AH16" s="333"/>
      <c r="AI16" s="333"/>
      <c r="AJ16" s="333"/>
      <c r="AK16" s="333"/>
      <c r="AL16" s="478"/>
      <c r="AM16" s="334">
        <f>IF(ISNUMBER(Datos!R16),Datos!R16," - ")</f>
        <v>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206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0.87912087912087911</v>
      </c>
      <c r="BH16" s="259">
        <f>IF(ISNUMBER(((IF(D_I="SI",Datos!L16/Datos!K16,(Datos!L16+Datos!AF16)/(Datos!K16+Datos!AE16)))*11)/factor_trimestre),((IF(D_I="SI",Datos!L16/Datos!K16,(Datos!L16+Datos!AF16)/(Datos!K16+Datos!AE16)))*11)/factor_trimestre," - ")</f>
        <v>3.9125000000000001</v>
      </c>
      <c r="BI16" s="242">
        <f>IF(ISNUMBER('Resol  Asuntos'!D16/NºAsuntos!G16),'Resol  Asuntos'!D16/NºAsuntos!G16," - ")</f>
        <v>5.4166666666666669E-2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11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2.25</v>
      </c>
      <c r="BH17" s="259">
        <f>IF(ISNUMBER(((IF(D_I="SI",Datos!L17/Datos!K17,(Datos!L17+Datos!AF17)/(Datos!K17+Datos!AE17)))*11)/factor_trimestre),((IF(D_I="SI",Datos!L17/Datos!K17,(Datos!L17+Datos!AF17)/(Datos!K17+Datos!AE17)))*11)/factor_trimestre," - ")</f>
        <v>3.6666666666666674</v>
      </c>
      <c r="BI17" s="242">
        <f>IF(ISNUMBER('Resol  Asuntos'!D17/NºAsuntos!G17),'Resol  Asuntos'!D17/NºAsuntos!G17," - ")</f>
        <v>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280</v>
      </c>
      <c r="G18" s="897">
        <f>SUBTOTAL(9,G15:G17)</f>
        <v>293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249</v>
      </c>
      <c r="AC18" s="898">
        <f t="shared" si="4"/>
        <v>5</v>
      </c>
      <c r="AD18" s="898">
        <f t="shared" si="4"/>
        <v>0</v>
      </c>
      <c r="AE18" s="898">
        <f t="shared" si="4"/>
        <v>0</v>
      </c>
      <c r="AF18" s="898">
        <f t="shared" si="4"/>
        <v>324</v>
      </c>
      <c r="AG18" s="898">
        <f t="shared" si="4"/>
        <v>0</v>
      </c>
      <c r="AH18" s="898">
        <f t="shared" si="4"/>
        <v>0</v>
      </c>
      <c r="AI18" s="898">
        <f t="shared" si="4"/>
        <v>0</v>
      </c>
      <c r="AJ18" s="898">
        <f t="shared" si="4"/>
        <v>0</v>
      </c>
      <c r="AK18" s="898">
        <f t="shared" si="4"/>
        <v>0</v>
      </c>
      <c r="AL18" s="898">
        <f t="shared" si="4"/>
        <v>0</v>
      </c>
      <c r="AM18" s="898">
        <f t="shared" si="4"/>
        <v>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v>
      </c>
      <c r="BD18" s="898">
        <f t="shared" si="4"/>
        <v>209</v>
      </c>
      <c r="BE18" s="898">
        <f t="shared" si="4"/>
        <v>0</v>
      </c>
      <c r="BF18" s="898">
        <f t="shared" si="4"/>
        <v>0</v>
      </c>
      <c r="BG18" s="898">
        <f>IF(ISNUMBER(Datos!K18/Datos!J18),Datos!K18/Datos!J18," - ")</f>
        <v>0.89891696750902528</v>
      </c>
      <c r="BH18" s="902">
        <f>IF(ISNUMBER(((Datos!L18/Datos!K18)*11)/factor_trimestre),((Datos!L18/Datos!K18)*11)/factor_trimestre," - ")</f>
        <v>3.9036144578313254</v>
      </c>
      <c r="BI18" s="898">
        <f>SUBTOTAL(9,BI15:BI17)</f>
        <v>1.0541666666666667</v>
      </c>
      <c r="BJ18" s="898">
        <f>SUBTOTAL(9,BJ15:BJ17)</f>
        <v>0</v>
      </c>
      <c r="BK18" s="898">
        <f>SUBTOTAL(9,BK15:BK17)</f>
        <v>0</v>
      </c>
      <c r="BL18" s="898">
        <f>IF(ISNUMBER((I18-AB18+L18)/(F18)),(I18-AB18+L18)/(F18)," - ")</f>
        <v>-0.88928571428571423</v>
      </c>
      <c r="BM18" s="904">
        <f>IF(ISNUMBER((Datos!P18-Datos!Q18)/(Datos!R18-Datos!P18+Datos!Q18)),(Datos!P18-Datos!Q18)/(Datos!R18-Datos!P18+Datos!Q18)," - ")</f>
        <v>-5.4054054054054057E-2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282</v>
      </c>
      <c r="G19" s="819">
        <f t="shared" si="6"/>
        <v>295</v>
      </c>
      <c r="H19" s="821">
        <f t="shared" si="6"/>
        <v>0</v>
      </c>
      <c r="I19" s="819">
        <f t="shared" si="6"/>
        <v>0</v>
      </c>
      <c r="J19" s="821">
        <f t="shared" si="6"/>
        <v>0</v>
      </c>
      <c r="K19" s="821">
        <f t="shared" si="6"/>
        <v>0</v>
      </c>
      <c r="L19" s="880">
        <f t="shared" si="6"/>
        <v>0</v>
      </c>
      <c r="M19" s="880">
        <f t="shared" si="6"/>
        <v>0</v>
      </c>
      <c r="N19" s="880">
        <f t="shared" si="6"/>
        <v>30</v>
      </c>
      <c r="O19" s="880">
        <f t="shared" si="6"/>
        <v>0</v>
      </c>
      <c r="P19" s="880">
        <f t="shared" si="6"/>
        <v>0</v>
      </c>
      <c r="Q19" s="821">
        <f t="shared" si="6"/>
        <v>117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249</v>
      </c>
      <c r="AC19" s="820">
        <f t="shared" si="7"/>
        <v>79</v>
      </c>
      <c r="AD19" s="820">
        <f t="shared" si="7"/>
        <v>0</v>
      </c>
      <c r="AE19" s="820">
        <f t="shared" si="7"/>
        <v>0</v>
      </c>
      <c r="AF19" s="827">
        <f t="shared" si="7"/>
        <v>329</v>
      </c>
      <c r="AG19" s="827">
        <f t="shared" si="7"/>
        <v>0</v>
      </c>
      <c r="AH19" s="827">
        <f t="shared" si="7"/>
        <v>14</v>
      </c>
      <c r="AI19" s="827">
        <f t="shared" si="7"/>
        <v>0</v>
      </c>
      <c r="AJ19" s="820">
        <f t="shared" si="7"/>
        <v>0</v>
      </c>
      <c r="AK19" s="827">
        <f t="shared" si="7"/>
        <v>0</v>
      </c>
      <c r="AL19" s="827">
        <f t="shared" si="7"/>
        <v>0</v>
      </c>
      <c r="AM19" s="827">
        <f t="shared" si="7"/>
        <v>1174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v>
      </c>
      <c r="BD19" s="819">
        <f t="shared" si="7"/>
        <v>229</v>
      </c>
      <c r="BE19" s="819">
        <f t="shared" si="7"/>
        <v>0</v>
      </c>
      <c r="BF19" s="829">
        <f t="shared" si="7"/>
        <v>0</v>
      </c>
      <c r="BG19" s="914">
        <f>IF(ISNUMBER(Datos!K19/Datos!J19),Datos!K19/Datos!J19," - ")</f>
        <v>0.7978723404255319</v>
      </c>
      <c r="BH19" s="914">
        <f>IF(ISNUMBER(((Datos!L19/Datos!K19)*11)/factor_trimestre),((Datos!L19/Datos!K19)*11)/factor_trimestre," - ")</f>
        <v>6.887999999999999</v>
      </c>
      <c r="BI19" s="812">
        <f>IF(ISNUMBER(Datos!J19/Datos!I19),Datos!J19/Datos!I19," - ")</f>
        <v>0.61598951507208388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-0.88297872340425532</v>
      </c>
      <c r="BM19" s="888">
        <f>IF(ISNUMBER((Datos!P19-Datos!Q19+R19)/(Datos!R19-Datos!P19+Datos!Q19-R19)),(Datos!P19-Datos!Q19+R19)/(Datos!R19-Datos!P19+Datos!Q19-R19)," - ")</f>
        <v>3.345070422535211E-2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160.50337483471597</v>
      </c>
      <c r="G21" s="551">
        <f>IF(ISNUMBER(STDEV(G8:G18)),STDEV(G8:G18),"-")</f>
        <v>152.66139001070309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132.36427010337798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7.0710678118654755</v>
      </c>
      <c r="BD21" s="550"/>
      <c r="BE21" s="550">
        <f>IF(ISNUMBER(STDEV(BE8:BE18)),STDEV(BE8:BE18),"-")</f>
        <v>0</v>
      </c>
      <c r="BF21" s="555">
        <f>IF(ISNUMBER(STDEV(BF8:BF18)),STDEV(BF8:BF18),"-")</f>
        <v>0</v>
      </c>
      <c r="BG21" s="774">
        <f>IF(ISNUMBER(STDEV(BG8:BG18)),STDEV(BG8:BG18),"-")</f>
        <v>0.73787242516252627</v>
      </c>
      <c r="BH21" s="775">
        <f>IF(ISNUMBER(STDEV(BH8:BH18)),STDEV(BH8:BH18),"-")</f>
        <v>4.2929419668753646</v>
      </c>
      <c r="BI21" s="248">
        <f>IF(ISNUMBER(STDEV(BI8:BI18)),STDEV(BI8:BI18),"-")</f>
        <v>0.55809534448009557</v>
      </c>
      <c r="BJ21" s="229" t="str">
        <f>IF(ISNUMBER(BL21/BM21),BL21/BM21," - ")</f>
        <v xml:space="preserve"> - </v>
      </c>
      <c r="BK21" s="574"/>
      <c r="BL21" s="558">
        <f>IF(ISNUMBER(STDEV(BL8:BL18)),STDEV(BL8:BL18),"-")</f>
        <v>0.6288199589837512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7Wugy9Fws9rVUsyzKsEBMH8XpShaGKDHRTaxWWPSCxFE2AbsTeOHgNA3N2WC4WZ9IkoICdsg399cnzHpWOT00w==" saltValue="RgwIe36ctxY88xJ/z744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LLERENA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74</v>
      </c>
      <c r="AA12" s="331" t="str">
        <f>IF(ISNUMBER(IF(J_V="SI",Datos!L12,Datos!L12+Datos!AB12)-IF(Monitorios="SI",Datos!CD12,0)),
                          IF(J_V="SI",Datos!L12,Datos!L12+Datos!AB12)-IF(Monitorios="SI",Datos!CD12,0),
                          " - ")</f>
        <v xml:space="preserve"> - </v>
      </c>
      <c r="AB12" s="333"/>
      <c r="AC12" s="333"/>
      <c r="AD12" s="483"/>
      <c r="AE12" s="483">
        <f>IF(ISNUMBER(Datos!R12),Datos!R12," - ")</f>
        <v>1139</v>
      </c>
      <c r="AF12" s="228" t="str">
        <f>IF(ISNUMBER(Datos!BV12),Datos!BV12," - ")</f>
        <v xml:space="preserve"> - </v>
      </c>
      <c r="AG12" s="224" t="str">
        <f>IF(ISNUMBER(Datos!DV12),Datos!DV12," - ")</f>
        <v xml:space="preserve"> - </v>
      </c>
      <c r="AH12" s="297"/>
      <c r="AI12" s="226"/>
      <c r="AJ12" s="224">
        <f>IF(ISNUMBER(Datos!M12),Datos!M12," - ")</f>
        <v>11</v>
      </c>
      <c r="AK12" s="228">
        <f>IF(ISNUMBER(Datos!N12),Datos!N12," - ")</f>
        <v>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10.17391304347826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3.6396724294813464E-2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74</v>
      </c>
      <c r="AA13" s="899">
        <f t="shared" si="2"/>
        <v>5</v>
      </c>
      <c r="AB13" s="899">
        <f t="shared" si="2"/>
        <v>0</v>
      </c>
      <c r="AC13" s="899">
        <f t="shared" si="2"/>
        <v>0</v>
      </c>
      <c r="AD13" s="899">
        <f t="shared" si="2"/>
        <v>0</v>
      </c>
      <c r="AE13" s="899">
        <f t="shared" si="2"/>
        <v>1139</v>
      </c>
      <c r="AF13" s="907">
        <f t="shared" si="2"/>
        <v>0</v>
      </c>
      <c r="AG13" s="907">
        <f t="shared" si="2"/>
        <v>0</v>
      </c>
      <c r="AH13" s="907">
        <f t="shared" si="2"/>
        <v>0</v>
      </c>
      <c r="AI13" s="907">
        <f t="shared" si="2"/>
        <v>0</v>
      </c>
      <c r="AJ13" s="907">
        <f t="shared" si="2"/>
        <v>11</v>
      </c>
      <c r="AK13" s="907">
        <f t="shared" si="2"/>
        <v>20</v>
      </c>
      <c r="AL13" s="907">
        <f t="shared" si="2"/>
        <v>0</v>
      </c>
      <c r="AM13" s="907">
        <f t="shared" si="2"/>
        <v>0</v>
      </c>
      <c r="AN13" s="907">
        <f t="shared" si="2"/>
        <v>0</v>
      </c>
      <c r="AO13" s="903">
        <f>IF(ISNUMBER(((NºAsuntos!I13/NºAsuntos!G13)*11)/factor_trimestre),((NºAsuntos!I13/NºAsuntos!G13)*11)/factor_trimestre," - ")</f>
        <v>10.267080745341614</v>
      </c>
      <c r="AP13" s="909" t="str">
        <f>IF(ISNUMBER(Datos!CI13/Datos!CJ13),Datos!CI13/Datos!CJ13," - ")</f>
        <v xml:space="preserve"> - </v>
      </c>
      <c r="AQ13" s="927">
        <f t="shared" ref="AQ13:AV13" si="3">SUBTOTAL(9,AQ9:AQ12)</f>
        <v>0</v>
      </c>
      <c r="AR13" s="927">
        <f t="shared" si="3"/>
        <v>3.6396724294813464E-2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280</v>
      </c>
      <c r="G16" s="224">
        <f>IF(ISNUMBER(IF(D_I="SI",Datos!I16,Datos!I16+Datos!AC16)),IF(D_I="SI",Datos!I16,Datos!I16+Datos!AC16)," - ")</f>
        <v>277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240</v>
      </c>
      <c r="Z16" s="618">
        <f>IF(ISNUMBER(Datos!Q16),Datos!Q16," - ")</f>
        <v>5</v>
      </c>
      <c r="AA16" s="331">
        <f>IF(ISNUMBER(IF(D_I="SI",Datos!L16,Datos!L16+Datos!AF16)),IF(D_I="SI",Datos!L16,Datos!L16+Datos!AF16)," - ")</f>
        <v>313</v>
      </c>
      <c r="AB16" s="333"/>
      <c r="AC16" s="333"/>
      <c r="AD16" s="483"/>
      <c r="AE16" s="483">
        <f>IF(ISNUMBER(Datos!R16),Datos!R16," - ")</f>
        <v>35</v>
      </c>
      <c r="AF16" s="228" t="str">
        <f>IF(ISNUMBER(Datos!BV16),Datos!BV16," - ")</f>
        <v xml:space="preserve"> - </v>
      </c>
      <c r="AG16" s="224"/>
      <c r="AH16" s="297"/>
      <c r="AI16" s="226"/>
      <c r="AJ16" s="224">
        <f>IF(ISNUMBER(Datos!M16),Datos!M16," - ")</f>
        <v>13</v>
      </c>
      <c r="AK16" s="228">
        <f>IF(ISNUMBER(Datos!N16),Datos!N16," - ")</f>
        <v>206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3.9125000000000001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11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3.6666666666666674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280</v>
      </c>
      <c r="G18" s="897">
        <f>SUBTOTAL(9,G15:G17)</f>
        <v>293</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249</v>
      </c>
      <c r="Z18" s="931">
        <f t="shared" si="5"/>
        <v>5</v>
      </c>
      <c r="AA18" s="931">
        <f t="shared" si="5"/>
        <v>324</v>
      </c>
      <c r="AB18" s="931">
        <f t="shared" si="5"/>
        <v>0</v>
      </c>
      <c r="AC18" s="931">
        <f t="shared" si="5"/>
        <v>0</v>
      </c>
      <c r="AD18" s="931">
        <f t="shared" si="5"/>
        <v>0</v>
      </c>
      <c r="AE18" s="931">
        <f t="shared" si="5"/>
        <v>35</v>
      </c>
      <c r="AF18" s="931">
        <f t="shared" si="5"/>
        <v>0</v>
      </c>
      <c r="AG18" s="931">
        <f t="shared" si="5"/>
        <v>0</v>
      </c>
      <c r="AH18" s="931">
        <f t="shared" si="5"/>
        <v>0</v>
      </c>
      <c r="AI18" s="931">
        <f t="shared" si="5"/>
        <v>0</v>
      </c>
      <c r="AJ18" s="931">
        <f t="shared" si="5"/>
        <v>22</v>
      </c>
      <c r="AK18" s="931">
        <f t="shared" si="5"/>
        <v>209</v>
      </c>
      <c r="AL18" s="931">
        <f t="shared" si="5"/>
        <v>0</v>
      </c>
      <c r="AM18" s="931">
        <f t="shared" si="5"/>
        <v>0</v>
      </c>
      <c r="AN18" s="931">
        <f t="shared" si="5"/>
        <v>0</v>
      </c>
      <c r="AO18" s="933">
        <f>IF(ISNUMBER(((NºAsuntos!I18/NºAsuntos!G18)*11)/factor_trimestre),((NºAsuntos!I18/NºAsuntos!G18)*11)/factor_trimestre," - ")</f>
        <v>3.9036144578313254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282</v>
      </c>
      <c r="G19" s="819">
        <f t="shared" si="7"/>
        <v>295</v>
      </c>
      <c r="H19" s="820">
        <f t="shared" si="7"/>
        <v>0</v>
      </c>
      <c r="I19" s="819">
        <f t="shared" si="7"/>
        <v>0</v>
      </c>
      <c r="J19" s="821">
        <f t="shared" si="7"/>
        <v>0</v>
      </c>
      <c r="K19" s="819">
        <f t="shared" si="7"/>
        <v>0</v>
      </c>
      <c r="L19" s="822">
        <f t="shared" si="7"/>
        <v>0</v>
      </c>
      <c r="M19" s="819">
        <f t="shared" si="7"/>
        <v>0</v>
      </c>
      <c r="N19" s="820">
        <f t="shared" si="7"/>
        <v>117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249</v>
      </c>
      <c r="Z19" s="826">
        <f t="shared" si="8"/>
        <v>79</v>
      </c>
      <c r="AA19" s="827">
        <f t="shared" si="8"/>
        <v>329</v>
      </c>
      <c r="AB19" s="827">
        <f t="shared" si="8"/>
        <v>0</v>
      </c>
      <c r="AC19" s="827">
        <f t="shared" si="8"/>
        <v>0</v>
      </c>
      <c r="AD19" s="828">
        <f t="shared" si="8"/>
        <v>0</v>
      </c>
      <c r="AE19" s="828">
        <f t="shared" si="8"/>
        <v>1174</v>
      </c>
      <c r="AF19" s="829">
        <f t="shared" si="8"/>
        <v>0</v>
      </c>
      <c r="AG19" s="830">
        <f t="shared" si="8"/>
        <v>0</v>
      </c>
      <c r="AH19" s="831">
        <f t="shared" si="8"/>
        <v>0</v>
      </c>
      <c r="AI19" s="829">
        <f t="shared" si="8"/>
        <v>0</v>
      </c>
      <c r="AJ19" s="819">
        <f t="shared" si="8"/>
        <v>33</v>
      </c>
      <c r="AK19" s="819">
        <f t="shared" si="8"/>
        <v>229</v>
      </c>
      <c r="AL19" s="819">
        <f t="shared" si="8"/>
        <v>0</v>
      </c>
      <c r="AM19" s="832">
        <f t="shared" si="8"/>
        <v>0</v>
      </c>
      <c r="AN19" s="822">
        <f>IF(ISNUMBER(Datos!K19/Datos!J19),Datos!K19/Datos!J19," - ")</f>
        <v>0.7978723404255319</v>
      </c>
      <c r="AO19" s="822">
        <f>IF(ISNUMBER(FIND("06",Criterios!A8,1)),(IF(ISNUMBER(((Datos!R19/Datos!Q19)*11)/factor_trimestre),((Datos!R19/Datos!Q19)*11)/factor_trimestre," - ")),(IF(ISNUMBER(((Datos!L19/Datos!K19)*11)/factor_trimestre),((Datos!L19/Datos!K19)*11)/factor_trimestre," - ")))</f>
        <v>6.887999999999999</v>
      </c>
      <c r="AP19" s="833" t="str">
        <f>IF(ISNUMBER(Datos!CI19/Datos!CJ19),Datos!CI19/Datos!CJ19," - ")</f>
        <v xml:space="preserve"> - </v>
      </c>
      <c r="AQ19" s="833">
        <f>IF(OR(ISNUMBER(FIND("01",Criterios!A8,1)),ISNUMBER(FIND("02",Criterios!A8,1)),ISNUMBER(FIND("03",Criterios!A8,1)),ISNUMBER(FIND("04",Criterios!A8,1))),(J19-Y19+K19)/(F19-K19),(I19-Y19+K19)/(F19-K19))</f>
        <v>-0.88297872340425532</v>
      </c>
      <c r="AR19" s="833">
        <f>IF(ISNUMBER((Datos!P19-Datos!Q19+O19)/(Datos!R19-Datos!P19+Datos!Q19-O19)),(Datos!P19-Datos!Q19+O19)/(Datos!R19-Datos!P19+Datos!Q19-O19)," - ")</f>
        <v>3.345070422535211E-2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160.50337483471597</v>
      </c>
      <c r="G21" s="551">
        <f>IF(ISNUMBER(STDEV(G8:G18)),STDEV(G8:G18),"-")</f>
        <v>152.66139001070309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7.0710678118654755</v>
      </c>
      <c r="AK21" s="251"/>
      <c r="AL21" s="251">
        <f>IF(ISNUMBER(STDEV(AL8:AL18)),STDEV(AL8:AL18),"-")</f>
        <v>0</v>
      </c>
      <c r="AM21" s="253">
        <f>IF(ISNUMBER(STDEV(AM8:AM18)),STDEV(AM8:AM18),"-")</f>
        <v>0</v>
      </c>
      <c r="AN21" s="538">
        <f>IF(ISNUMBER(STDEV(AN8:AN18)),STDEV(AN8:AN18),"-")</f>
        <v>0</v>
      </c>
      <c r="AO21" s="539">
        <f>IF(ISNUMBER(STDEV(AO8:AO18)),STDEV(AO8:AO18),"-")</f>
        <v>3.5030800459816485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4hI5GVx/5BA21xk6VeKgMECe/IDnl1u6S2tZxiMfT0bnMlE5HojipwJW3YoVDZjS4k7Tt7mQKx2Kk7n8tBP0Q==" saltValue="nCOPrXXdE+RPE9JxoifH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jBd3CsuBdgT9ZiPqX4i8zsT1J3CKoP73Uz0KZqAvaku5nFoMselRXBM28YWf8z20w6rY/EtFY2IjcUWMdXhXA==" saltValue="IivtknmRi4TokCkkZkw4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hyzeB7aRSOoNjzERbAGqUwo/6zmhT/IM+LlqpcSQVfB99Js0d6soHngxBgXdzGA4eYT8CA6iEo5rMbCI6HUA==" saltValue="hIp55K56n0PlezMAmDhe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LLERENA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6.8322981366459631E-2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4.8311643435105731E-2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ZjuD+6+Gb2X3iCX0JYU/GnduN5a0irfz7c7i39Iw+yNq1uKQ6c5fqcrKQXpo3KkaaKRm8nB9utqflzXg7SS/w==" saltValue="LgRW+DiY3/FSSxgZxewp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BjTHZ9ugMSE27TMEqSX94ONhXYQmXJik3JnekrQOV00DgMw4l5ptl/6CKzxnFmPof5lukpdzmkf3kZfSx4DqQ==" saltValue="sg2+u4KTfFYyvPYYMx/+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LLERENA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3</v>
      </c>
      <c r="F10" s="403">
        <f>IF(ISNUMBER(E10/B10),E10/B10," - ")</f>
        <v>3</v>
      </c>
      <c r="G10" s="402">
        <f>IF(ISNUMBER(Datos!K10),Datos!K10," - ")</f>
        <v>0</v>
      </c>
      <c r="H10" s="403">
        <f>IF(ISNUMBER(G10/B10),G10/B10," - ")</f>
        <v>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487</v>
      </c>
      <c r="D12" s="403">
        <f>IF(ISNUMBER(C12/Datos!BH12),C12/Datos!BH12," - ")</f>
        <v>487</v>
      </c>
      <c r="E12" s="402">
        <f>IF(ISNUMBER(IF(J_V="SI",Datos!J12,Datos!J12+Datos!Z12)),IF(J_V="SI",Datos!J12,Datos!J12+Datos!Z12)," - ")</f>
        <v>220</v>
      </c>
      <c r="F12" s="403">
        <f>IF(ISNUMBER(E12/B12),E12/B12," - ")</f>
        <v>220</v>
      </c>
      <c r="G12" s="402">
        <f>IF(ISNUMBER(IF(J_V="SI",Datos!K12,Datos!K12+Datos!AA12)),IF(J_V="SI",Datos!K12,Datos!K12+Datos!AA12)," - ")</f>
        <v>161</v>
      </c>
      <c r="H12" s="403">
        <f>IF(ISNUMBER(G12/B12),G12/B12," - ")</f>
        <v>161</v>
      </c>
      <c r="I12" s="402">
        <f>IF(ISNUMBER(IF(J_V="SI",Datos!L12,Datos!L12+Datos!AB12)),IF(J_V="SI",Datos!L12,Datos!L12+Datos!AB12)," - ")</f>
        <v>546</v>
      </c>
      <c r="J12" s="403">
        <f>IF(ISNUMBER(I12/B12),I12/B12," - ")</f>
        <v>546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489</v>
      </c>
      <c r="D13" s="849" t="str">
        <f>IF(ISNUMBER(C13/Datos!BI13),C13/Datos!BI13," - ")</f>
        <v xml:space="preserve"> - </v>
      </c>
      <c r="E13" s="848">
        <f>SUBTOTAL(9,E8:E12)</f>
        <v>223</v>
      </c>
      <c r="F13" s="849">
        <f>IF(ISNUMBER(E13/B13),E13/B13," - ")</f>
        <v>223</v>
      </c>
      <c r="G13" s="848">
        <f>SUBTOTAL(9,G8:G12)</f>
        <v>161</v>
      </c>
      <c r="H13" s="849">
        <f>IF(ISNUMBER(G13/B13),G13/B13," - ")</f>
        <v>161</v>
      </c>
      <c r="I13" s="848">
        <f>SUBTOTAL(9,I8:I12)</f>
        <v>551</v>
      </c>
      <c r="J13" s="849">
        <f>IF(ISNUMBER(I13/B13),I13/B13," - ")</f>
        <v>551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277</v>
      </c>
      <c r="D16" s="403">
        <f>IF(ISNUMBER(C16/Datos!BH16),C16/Datos!BH16," - ")</f>
        <v>277</v>
      </c>
      <c r="E16" s="402">
        <f>IF(ISNUMBER(IF(D_I="SI",Datos!J16,Datos!J16+Datos!AD16)),IF(D_I="SI",Datos!J16,Datos!J16+Datos!AD16)," - ")</f>
        <v>273</v>
      </c>
      <c r="F16" s="403">
        <f>IF(ISNUMBER(E16/B16),E16/B16," - ")</f>
        <v>273</v>
      </c>
      <c r="G16" s="402">
        <f>IF(ISNUMBER(IF(D_I="SI",Datos!K16,Datos!K16+Datos!AE16)),IF(D_I="SI",Datos!K16,Datos!K16+Datos!AE16)," - ")</f>
        <v>240</v>
      </c>
      <c r="H16" s="403">
        <f>IF(ISNUMBER(G16/B16),G16/B16," - ")</f>
        <v>240</v>
      </c>
      <c r="I16" s="402">
        <f>IF(ISNUMBER(IF(D_I="SI",Datos!L16,Datos!L16+Datos!AF16)),IF(D_I="SI",Datos!L16,Datos!L16+Datos!AF16)," - ")</f>
        <v>313</v>
      </c>
      <c r="J16" s="403">
        <f>IF(ISNUMBER(I16/B16),I16/B16," - ")</f>
        <v>313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4</v>
      </c>
      <c r="F17" s="403">
        <f>IF(ISNUMBER(E17/B17),E17/B17," - ")</f>
        <v>4</v>
      </c>
      <c r="G17" s="402">
        <f>IF(ISNUMBER(IF(D_I="SI",Datos!K17,Datos!K17+Datos!AE17)),IF(D_I="SI",Datos!K17,Datos!K17+Datos!AE17)," - ")</f>
        <v>9</v>
      </c>
      <c r="H17" s="403">
        <f>IF(ISNUMBER(G17/B17),G17/B17," - ")</f>
        <v>9</v>
      </c>
      <c r="I17" s="402">
        <f>IF(ISNUMBER(IF(D_I="SI",Datos!L17,Datos!L17+Datos!AF17)),IF(D_I="SI",Datos!L17,Datos!L17+Datos!AF17)," - ")</f>
        <v>11</v>
      </c>
      <c r="J17" s="403">
        <f>IF(ISNUMBER(I17/B17),I17/B17," - ")</f>
        <v>11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293</v>
      </c>
      <c r="D18" s="849" t="str">
        <f>IF(ISNUMBER(C18/Datos!BI18),C18/Datos!BI18," - ")</f>
        <v xml:space="preserve"> - </v>
      </c>
      <c r="E18" s="848">
        <f>SUBTOTAL(9,E14:E17)</f>
        <v>277</v>
      </c>
      <c r="F18" s="849">
        <f>IF(ISNUMBER(E18/B18),E18/B18," - ")</f>
        <v>277</v>
      </c>
      <c r="G18" s="848">
        <f>SUBTOTAL(9,G14:G17)</f>
        <v>249</v>
      </c>
      <c r="H18" s="849">
        <f>IF(ISNUMBER(G18/B18),G18/B18," - ")</f>
        <v>249</v>
      </c>
      <c r="I18" s="848">
        <f>SUBTOTAL(9,I14:I17)</f>
        <v>324</v>
      </c>
      <c r="J18" s="849">
        <f>IF(ISNUMBER(I18/B18),I18/B18," - ")</f>
        <v>324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782</v>
      </c>
      <c r="D19" s="794" t="str">
        <f>IF(ISNUMBER(C19/Datos!BI19),C19/Datos!BI19," - ")</f>
        <v xml:space="preserve"> - </v>
      </c>
      <c r="E19" s="793">
        <f>SUBTOTAL(9,E9:E18)</f>
        <v>500</v>
      </c>
      <c r="F19" s="794">
        <f>IF(ISNUMBER(E19/B19),E19/B19," - ")</f>
        <v>500</v>
      </c>
      <c r="G19" s="793">
        <f>SUBTOTAL(9,G9:G18)</f>
        <v>410</v>
      </c>
      <c r="H19" s="794">
        <f>IF(ISNUMBER(G19/B19),G19/B19," - ")</f>
        <v>410</v>
      </c>
      <c r="I19" s="793">
        <f>SUBTOTAL(9,I9:I18)</f>
        <v>875</v>
      </c>
      <c r="J19" s="794">
        <f>IF(ISNUMBER(I19/B19),I19/B19," - ")</f>
        <v>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ouJCLMMQPmolOpYBiteynY8XNHEckBWBKA29ZdPUnUfUAGYLrnJC+bvRDoCoiIQkmUYJ3IwUBRjS2XV8RB+zA==" saltValue="GZB41jO+9pBDkmC38BBA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LLERENA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v>
      </c>
      <c r="AM12" s="689">
        <f>IF(ISNUMBER(Datos!N12+DatosP!N16),Datos!N12+DatosP!N16," - ")</f>
        <v>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10.17391304347826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3.6396724294813464E-2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74</v>
      </c>
      <c r="AE13" s="938">
        <f t="shared" si="1"/>
        <v>0</v>
      </c>
      <c r="AF13" s="938">
        <f t="shared" si="1"/>
        <v>5</v>
      </c>
      <c r="AG13" s="938">
        <f t="shared" si="1"/>
        <v>0</v>
      </c>
      <c r="AH13" s="938">
        <f t="shared" si="1"/>
        <v>1139</v>
      </c>
      <c r="AI13" s="938">
        <f t="shared" si="1"/>
        <v>0</v>
      </c>
      <c r="AJ13" s="938">
        <f t="shared" si="1"/>
        <v>0</v>
      </c>
      <c r="AK13" s="938">
        <f t="shared" si="1"/>
        <v>0</v>
      </c>
      <c r="AL13" s="938">
        <f t="shared" si="1"/>
        <v>11</v>
      </c>
      <c r="AM13" s="938">
        <f t="shared" si="1"/>
        <v>20</v>
      </c>
      <c r="AN13" s="938">
        <f t="shared" si="1"/>
        <v>0</v>
      </c>
      <c r="AO13" s="938">
        <f t="shared" si="1"/>
        <v>0</v>
      </c>
      <c r="AP13" s="943">
        <f>IF(ISNUMBER(((Datos!L13/Datos!K13)*11)/factor_trimestre),((Datos!L13/Datos!K13)*11)/factor_trimestre," - ")</f>
        <v>12.785714285714286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3.6396724294813464E-2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3.9036144578313254</v>
      </c>
      <c r="AQ18" s="943">
        <f>IF(ISNUMBER(((Datos!M18/Datos!L18)*11)/factor_trimestre),((Datos!M18/Datos!L18)*11)/factor_trimestre," - ")</f>
        <v>0.20370370370370372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-5.4054054054054057E-2</v>
      </c>
      <c r="AW18" s="945">
        <f>IF(ISNUMBER((Datos!Q18-Datos!R18)/(Datos!S18-Datos!Q18+Datos!R18)),(Datos!Q18-Datos!R18)/(Datos!S18-Datos!Q18+Datos!R18)," - ")</f>
        <v>-8.6705202312138727E-2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74</v>
      </c>
      <c r="AE19" s="956">
        <f t="shared" si="5"/>
        <v>0</v>
      </c>
      <c r="AF19" s="957">
        <f t="shared" si="5"/>
        <v>5</v>
      </c>
      <c r="AG19" s="957">
        <f t="shared" si="5"/>
        <v>0</v>
      </c>
      <c r="AH19" s="957">
        <f t="shared" si="5"/>
        <v>1139</v>
      </c>
      <c r="AI19" s="957">
        <f t="shared" si="5"/>
        <v>0</v>
      </c>
      <c r="AJ19" s="958">
        <f t="shared" si="5"/>
        <v>0</v>
      </c>
      <c r="AK19" s="958">
        <f t="shared" si="5"/>
        <v>0</v>
      </c>
      <c r="AL19" s="950">
        <f t="shared" si="5"/>
        <v>11</v>
      </c>
      <c r="AM19" s="950">
        <f t="shared" si="5"/>
        <v>20</v>
      </c>
      <c r="AN19" s="950">
        <f t="shared" si="5"/>
        <v>0</v>
      </c>
      <c r="AO19" s="950">
        <f t="shared" si="5"/>
        <v>0</v>
      </c>
      <c r="AP19" s="950">
        <f>IF(ISNUMBER(((Datos!L19/Datos!K19)*11)/factor_trimestre),((Datos!L19/Datos!K19)*11)/factor_trimestre," - ")</f>
        <v>6.887999999999999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3.345070422535211E-2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6.3508529610858835</v>
      </c>
      <c r="AM21" s="735"/>
      <c r="AN21" s="735">
        <f>IF(ISNUMBER(STDEV(AN8:AN18)),STDEV(AN8:AN18),"-")</f>
        <v>0</v>
      </c>
      <c r="AO21" s="741">
        <f>IF(ISNUMBER(STDEV(AO8:AO18)),STDEV(AO8:AO18),"-")</f>
        <v>0</v>
      </c>
      <c r="AP21" s="778">
        <f>IF(ISNUMBER(STDEV(AP8:AP18)),STDEV(AP8:AP18),"-")</f>
        <v>4.564899550457274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ZWcciduMOOMc5AtdXYhImOdlT2t0i3j57cJIbOhK4dQ6U1OtHWykGpgBs8hfel9apn0DQz8MKAs2QSVrB52EA==" saltValue="qD94oWCdt1GVDOUZblIG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LLERENA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LwWSP+/whBjq92Hxa525KG/7UEXrfI+bRV0CoFF3NDY/ALKURKD6jOoFXY5g/3uY69tomu2H6Ri0rmgLpvhJA==" saltValue="21OOU2Q4nklgXtP4phPN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LLERENA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11</v>
      </c>
      <c r="E12" s="403">
        <f t="shared" si="0"/>
        <v>11</v>
      </c>
      <c r="F12" s="402">
        <f>IF(ISNUMBER(Datos!N12),Datos!N12," - ")</f>
        <v>20</v>
      </c>
      <c r="G12" s="403">
        <f t="shared" si="1"/>
        <v>20</v>
      </c>
      <c r="H12" s="402">
        <f>IF(ISNUMBER(Datos!O12),Datos!O12," - ")</f>
        <v>133</v>
      </c>
      <c r="I12" s="403">
        <f t="shared" si="2"/>
        <v>133</v>
      </c>
      <c r="BZ12" s="1185">
        <f>Datos!EZ12</f>
        <v>0</v>
      </c>
    </row>
    <row r="13" spans="1:78" ht="14.25" thickTop="1" thickBot="1">
      <c r="A13" s="847" t="str">
        <f>Datos!A13</f>
        <v>TOTAL</v>
      </c>
      <c r="B13" s="848">
        <f>Datos!AP13</f>
        <v>1</v>
      </c>
      <c r="C13" s="850">
        <f>Datos!AR13</f>
        <v>1</v>
      </c>
      <c r="D13" s="848">
        <f>SUBTOTAL(9,D9:D12)</f>
        <v>11</v>
      </c>
      <c r="E13" s="849">
        <f t="shared" si="0"/>
        <v>11</v>
      </c>
      <c r="F13" s="848">
        <f>SUBTOTAL(9,F9:F12)</f>
        <v>20</v>
      </c>
      <c r="G13" s="849">
        <f t="shared" si="1"/>
        <v>20</v>
      </c>
      <c r="H13" s="848">
        <f>SUBTOTAL(9,H9:H12)</f>
        <v>133</v>
      </c>
      <c r="I13" s="849">
        <f>IF(ISNUMBER(H13/B13),H13/B13," - ")</f>
        <v>133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v>
      </c>
      <c r="E16" s="403">
        <f t="shared" si="3"/>
        <v>13</v>
      </c>
      <c r="F16" s="402">
        <f>IF(ISNUMBER(Datos!N16),Datos!N16," - ")</f>
        <v>206</v>
      </c>
      <c r="G16" s="403">
        <f t="shared" si="4"/>
        <v>206</v>
      </c>
      <c r="H16" s="402">
        <f>IF(ISNUMBER(Datos!O16),Datos!O16," - ")</f>
        <v>4</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22</v>
      </c>
      <c r="E18" s="849">
        <f t="shared" si="3"/>
        <v>22</v>
      </c>
      <c r="F18" s="848">
        <f>SUBTOTAL(9,F15:F17)</f>
        <v>209</v>
      </c>
      <c r="G18" s="849">
        <f t="shared" si="4"/>
        <v>209</v>
      </c>
      <c r="H18" s="848">
        <f>SUBTOTAL(9,H15:H17)</f>
        <v>4</v>
      </c>
      <c r="I18" s="849">
        <f>IF(ISNUMBER(H18/B18),H18/B18," - ")</f>
        <v>4</v>
      </c>
      <c r="BZ18" s="1185"/>
    </row>
    <row r="19" spans="1:78" ht="14.25" thickTop="1" thickBot="1">
      <c r="A19" s="792" t="str">
        <f>Datos!A19</f>
        <v>TOTAL JURISDICCIONES</v>
      </c>
      <c r="B19" s="793">
        <f>Datos!AP19</f>
        <v>1</v>
      </c>
      <c r="C19" s="793">
        <f>Datos!AR19</f>
        <v>1</v>
      </c>
      <c r="D19" s="793">
        <f>SUBTOTAL(9,D8:D18)</f>
        <v>33</v>
      </c>
      <c r="E19" s="794">
        <f>IF(ISNUMBER(D19/B19),D19/B19," - ")</f>
        <v>33</v>
      </c>
      <c r="F19" s="793">
        <f>SUBTOTAL(9,F8:F18)</f>
        <v>229</v>
      </c>
      <c r="G19" s="794">
        <f>IF(ISNUMBER(F19/B19),F19/B19," - ")</f>
        <v>229</v>
      </c>
      <c r="H19" s="793">
        <f>SUBTOTAL(9,H8:H18)</f>
        <v>137</v>
      </c>
      <c r="I19" s="794">
        <f>IF(ISNUMBER(H19/B19),H19/B19," - ")</f>
        <v>137</v>
      </c>
    </row>
    <row r="22" spans="1:78">
      <c r="A22" s="390" t="str">
        <f>Criterios!A4</f>
        <v>Fecha Informe: 17 mar. 2026</v>
      </c>
    </row>
    <row r="27" spans="1:78">
      <c r="A27" s="413"/>
    </row>
  </sheetData>
  <sheetProtection algorithmName="SHA-512" hashValue="g5jgWwFIRzC+3pY8pe989jjEWHj7B+oyh55seR7hWCkGco8Iz1SyYMyLEq12uo4p2TPYyThDYROK5mcj/omNPA==" saltValue="Yj2xvyHSJdAFNfwE16PA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LLERENA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114</v>
      </c>
      <c r="C12" s="433">
        <f>IF(ISNUMBER(Datos!Q12),Datos!Q12," - ")</f>
        <v>74</v>
      </c>
      <c r="D12" s="407">
        <f>IF(ISNUMBER(Datos!R12),Datos!R12," - ")</f>
        <v>1139</v>
      </c>
    </row>
    <row r="13" spans="1:4" ht="14.25" thickTop="1" thickBot="1">
      <c r="A13" s="847" t="str">
        <f>Datos!A13</f>
        <v>TOTAL</v>
      </c>
      <c r="B13" s="848">
        <f>SUBTOTAL(9,B9:B12)</f>
        <v>114</v>
      </c>
      <c r="C13" s="852">
        <f>SUBTOTAL(9,C9:C12)</f>
        <v>74</v>
      </c>
      <c r="D13" s="850">
        <f>SUBTOTAL(9,D9:D12)</f>
        <v>1139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5</v>
      </c>
      <c r="D16" s="407">
        <f>IF(ISNUMBER(Datos!R16),Datos!R16," - ")</f>
        <v>35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5</v>
      </c>
      <c r="D18" s="850">
        <f>SUBTOTAL(9,D15:D17)</f>
        <v>35</v>
      </c>
    </row>
    <row r="19" spans="1:4" ht="16.5" customHeight="1" thickTop="1" thickBot="1">
      <c r="A19" s="792" t="str">
        <f>Datos!A19</f>
        <v>TOTAL JURISDICCIONES</v>
      </c>
      <c r="B19" s="797">
        <f>SUBTOTAL(9,B8:B18)</f>
        <v>117</v>
      </c>
      <c r="C19" s="798">
        <f>SUBTOTAL(9,C8:C18)</f>
        <v>79</v>
      </c>
      <c r="D19" s="799">
        <f>SUBTOTAL(9,D8:D18)</f>
        <v>1174</v>
      </c>
    </row>
    <row r="20" spans="1:4" ht="7.5" customHeight="1"/>
    <row r="21" spans="1:4" ht="6" customHeight="1"/>
    <row r="22" spans="1:4">
      <c r="A22" s="390" t="str">
        <f>Criterios!A4</f>
        <v>Fecha Informe: 17 mar. 2026</v>
      </c>
    </row>
    <row r="27" spans="1:4">
      <c r="A27" s="413"/>
    </row>
  </sheetData>
  <sheetProtection algorithmName="SHA-512" hashValue="g+p6q5rQoAY8X008Ny8bIuA9R/7Mo0OX7dq7upWMvHKeLnaHT7bI5rMgl7+KeoyaQS5e71K4kk+sWfMdtgxItA==" saltValue="IZTYiBfZ1r9DJN/GXPC6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LLERENA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2</v>
      </c>
      <c r="D10" s="455">
        <f>IF(ISNUMBER((Datos!K10-Datos!U10)/Datos!U10),(Datos!K10-Datos!U10)/Datos!U10," - ")</f>
        <v>-1</v>
      </c>
      <c r="E10" s="455">
        <f>IF(ISNUMBER((Datos!L10-Datos!V10)/Datos!V10),(Datos!L10-Datos!V10)/Datos!V10," - ")</f>
        <v>4</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-0.36422976501305482</v>
      </c>
      <c r="C12" s="455">
        <f>IF(ISNUMBER(
   IF(J_V="SI",(Datos!J12-Datos!T12)/Datos!T12,(Datos!J12+Datos!Z12-(Datos!T12+Datos!AH12))/(Datos!T12+Datos!AH12))
     ),IF(J_V="SI",(Datos!J12-Datos!T12)/Datos!T12,(Datos!J12+Datos!Z12-(Datos!T12+Datos!AH12))/(Datos!T12+Datos!AH12))," - ")</f>
        <v>-0.19708029197080293</v>
      </c>
      <c r="D12" s="455">
        <f>IF(ISNUMBER(
   IF(J_V="SI",(Datos!K12-Datos!U12)/Datos!U12,(Datos!K12+Datos!AA12-(Datos!U12+Datos!AI12))/(Datos!U12+Datos!AI12))
     ),IF(J_V="SI",(Datos!K12-Datos!U12)/Datos!U12,(Datos!K12+Datos!AA12-(Datos!U12+Datos!AI12))/(Datos!U12+Datos!AI12))," - ")</f>
        <v>-0.56010928961748629</v>
      </c>
      <c r="E12" s="455">
        <f>IF(ISNUMBER(
   IF(J_V="SI",(Datos!L12-Datos!V12)/Datos!V12,(Datos!L12+Datos!AB12-(Datos!V12+Datos!AJ12))/(Datos!V12+Datos!AJ12))
     ),IF(J_V="SI",(Datos!L12-Datos!V12)/Datos!V12,(Datos!L12+Datos!AB12-(Datos!V12+Datos!AJ12))/(Datos!V12+Datos!AJ12))," - ")</f>
        <v>-0.18991097922848665</v>
      </c>
      <c r="F12" s="455">
        <f>IF(ISNUMBER((Datos!M12-Datos!W12)/Datos!W12),(Datos!M12-Datos!W12)/Datos!W12," - ")</f>
        <v>-0.85135135135135132</v>
      </c>
      <c r="G12" s="456">
        <f>IF(ISNUMBER((Datos!N12-Datos!X12)/Datos!X12),(Datos!N12-Datos!X12)/Datos!X12," - ")</f>
        <v>-0.79381443298969068</v>
      </c>
      <c r="H12" s="454">
        <f>IF(ISNUMBER(((NºAsuntos!G12/NºAsuntos!E12)-Datos!BD12)/Datos!BD12),((NºAsuntos!G12/NºAsuntos!E12)-Datos!BD12)/Datos!BD12," - ")</f>
        <v>-0.45213611525086939</v>
      </c>
      <c r="I12" s="455">
        <f>IF(ISNUMBER(((NºAsuntos!I12/NºAsuntos!G12)-Datos!BE12)/Datos!BE12),((NºAsuntos!I12/NºAsuntos!G12)-Datos!BE12)/Datos!BE12," - ")</f>
        <v>0.84156882982840919</v>
      </c>
      <c r="J12" s="460">
        <f>IF(ISNUMBER((('Resol  Asuntos'!D12/NºAsuntos!G12)-Datos!BF12)/Datos!BF12),(('Resol  Asuntos'!D12/NºAsuntos!G12)-Datos!BF12)/Datos!BF12," - ")</f>
        <v>-0.74220400845232759</v>
      </c>
      <c r="K12" s="461">
        <f>IF(ISNUMBER((((NºAsuntos!C12+NºAsuntos!E12)/NºAsuntos!G12)-Datos!BG12)/Datos!BG12),(((NºAsuntos!C12+NºAsuntos!E12)/NºAsuntos!G12)-Datos!BG12)/Datos!BG12," - ")</f>
        <v>0.5454013377926421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-0.36245110821382009</v>
      </c>
      <c r="C13" s="854">
        <f>IF(ISNUMBER(
   IF(J_V="SI",(Datos!J13-Datos!T13)/Datos!T13,(Datos!J13+Datos!Z13-(Datos!T13+Datos!AH13))/(Datos!T13+Datos!AH13))
     ),IF(J_V="SI",(Datos!J13-Datos!T13)/Datos!T13,(Datos!J13+Datos!Z13-(Datos!T13+Datos!AH13))/(Datos!T13+Datos!AH13))," - ")</f>
        <v>-0.18909090909090909</v>
      </c>
      <c r="D13" s="854">
        <f>IF(ISNUMBER(
   IF(J_V="SI",(Datos!K13-Datos!U13)/Datos!U13,(Datos!K13+Datos!AA13-(Datos!U13+Datos!AI13))/(Datos!U13+Datos!AI13))
     ),IF(J_V="SI",(Datos!K13-Datos!U13)/Datos!U13,(Datos!K13+Datos!AA13-(Datos!U13+Datos!AI13))/(Datos!U13+Datos!AI13))," - ")</f>
        <v>-0.56130790190735691</v>
      </c>
      <c r="E13" s="854">
        <f>IF(ISNUMBER(
   IF(J_V="SI",(Datos!L13-Datos!V13)/Datos!V13,(Datos!L13+Datos!AB13-(Datos!V13+Datos!AJ13))/(Datos!V13+Datos!AJ13))
     ),IF(J_V="SI",(Datos!L13-Datos!V13)/Datos!V13,(Datos!L13+Datos!AB13-(Datos!V13+Datos!AJ13))/(Datos!V13+Datos!AJ13))," - ")</f>
        <v>-0.1837037037037037</v>
      </c>
      <c r="F13" s="855">
        <f>IF(ISNUMBER((Datos!M13-Datos!W13)/Datos!W13),(Datos!M13-Datos!W13)/Datos!W13," - ")</f>
        <v>-0.85135135135135132</v>
      </c>
      <c r="G13" s="856">
        <f>IF(ISNUMBER((Datos!N13-Datos!X13)/Datos!X13),(Datos!N13-Datos!X13)/Datos!X13," - ")</f>
        <v>-0.79381443298969068</v>
      </c>
      <c r="H13" s="856">
        <f>IF(ISNUMBER(((NºAsuntos!G13/NºAsuntos!E13)-Datos!BD13)/Datos!BD13),((NºAsuntos!G13/NºAsuntos!E13)-Datos!BD13)/Datos!BD13," - ")</f>
        <v>-0.4590119866570545</v>
      </c>
      <c r="I13" s="856">
        <f>IF(ISNUMBER(((NºAsuntos!I13/NºAsuntos!G13)-Datos!BE13)/Datos!BE13),((NºAsuntos!I13/NºAsuntos!G13)-Datos!BE13)/Datos!BE13," - ")</f>
        <v>0.86074994248907288</v>
      </c>
      <c r="J13" s="856">
        <f>IF(ISNUMBER((('Resol  Asuntos'!D13/NºAsuntos!G13)-Datos!BF13)/Datos!BF13),(('Resol  Asuntos'!D13/NºAsuntos!G13)-Datos!BF13)/Datos!BF13," - ")</f>
        <v>-0.74149964781968358</v>
      </c>
      <c r="K13" s="856">
        <f>IF(ISNUMBER((((NºAsuntos!C13+NºAsuntos!E13)/NºAsuntos!G13)-Datos!BG13)/Datos!BG13),(((NºAsuntos!C13+NºAsuntos!E13)/NºAsuntos!G13)-Datos!BG13)/Datos!BG13," - ")</f>
        <v>0.55758753472180844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-8.2781456953642391E-2</v>
      </c>
      <c r="C16" s="455">
        <f>IF(ISNUMBER(
   IF(D_I="SI",(Datos!J16-Datos!T16)/Datos!T16,(Datos!J16+Datos!AD16-(Datos!T16+Datos!AL16))/(Datos!T16+Datos!AL16))
     ),IF(D_I="SI",(Datos!J16-Datos!T16)/Datos!T16,(Datos!J16+Datos!AD16-(Datos!T16+Datos!AL16))/(Datos!T16+Datos!AL16))," - ")</f>
        <v>-0.28157894736842104</v>
      </c>
      <c r="D16" s="455">
        <f>IF(ISNUMBER(
   IF(D_I="SI",(Datos!K16-Datos!U16)/Datos!U16,(Datos!K16+Datos!AE16-(Datos!U16+Datos!AM16))/(Datos!U16+Datos!AM16))
     ),IF(D_I="SI",(Datos!K16-Datos!U16)/Datos!U16,(Datos!K16+Datos!AE16-(Datos!U16+Datos!AM16))/(Datos!U16+Datos!AM16))," - ")</f>
        <v>-0.33333333333333331</v>
      </c>
      <c r="E16" s="455">
        <f>IF(ISNUMBER(
   IF(D_I="SI",(Datos!L16-Datos!V16)/Datos!V16,(Datos!L16+Datos!AF16-(Datos!V16+Datos!AN16))/(Datos!V16+Datos!AN16))
     ),IF(D_I="SI",(Datos!L16-Datos!V16)/Datos!V16,(Datos!L16+Datos!AF16-(Datos!V16+Datos!AN16))/(Datos!V16+Datos!AN16))," - ")</f>
        <v>-4.2813455657492352E-2</v>
      </c>
      <c r="F16" s="455">
        <f>IF(ISNUMBER((Datos!M16-Datos!W16)/Datos!W16),(Datos!M16-Datos!W16)/Datos!W16," - ")</f>
        <v>-0.5</v>
      </c>
      <c r="G16" s="456">
        <f>IF(ISNUMBER((Datos!N16-Datos!X16)/Datos!X16),(Datos!N16-Datos!X16)/Datos!X16," - ")</f>
        <v>-0.22556390977443608</v>
      </c>
      <c r="H16" s="454">
        <f>IF(ISNUMBER(((NºAsuntos!G16/NºAsuntos!E16)-Datos!BD16)/Datos!BD16),((NºAsuntos!G16/NºAsuntos!E16)-Datos!BD16)/Datos!BD16," - ")</f>
        <v>-7.2039072039072005E-2</v>
      </c>
      <c r="I16" s="455">
        <f>IF(ISNUMBER(((NºAsuntos!I16/NºAsuntos!G16)-Datos!BE16)/Datos!BE16),((NºAsuntos!I16/NºAsuntos!G16)-Datos!BE16)/Datos!BE16," - ")</f>
        <v>0.43577981651376152</v>
      </c>
      <c r="J16" s="460">
        <f>IF(ISNUMBER((('Resol  Asuntos'!D16/NºAsuntos!G16)-Datos!BF16)/Datos!BF16),(('Resol  Asuntos'!D16/NºAsuntos!G16)-Datos!BF16)/Datos!BF16," - ")</f>
        <v>-0.24999999999999992</v>
      </c>
      <c r="K16" s="461">
        <f>IF(ISNUMBER((((NºAsuntos!C16+NºAsuntos!E16)/NºAsuntos!G16)-Datos!BG16)/Datos!BG16),(((NºAsuntos!C16+NºAsuntos!E16)/NºAsuntos!G16)-Datos!BG16)/Datos!BG16," - ")</f>
        <v>0.20967741935483866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0.14285714285714285</v>
      </c>
      <c r="C17" s="455">
        <f>IF(ISNUMBER(
   IF(D_I="SI",(Datos!J17-Datos!T17)/Datos!T17,(Datos!J17+Datos!AD17-(Datos!T17+Datos!AL17))/(Datos!T17+Datos!AL17))
     ),IF(D_I="SI",(Datos!J17-Datos!T17)/Datos!T17,(Datos!J17+Datos!AD17-(Datos!T17+Datos!AL17))/(Datos!T17+Datos!AL17))," - ")</f>
        <v>-0.73333333333333328</v>
      </c>
      <c r="D17" s="455">
        <f>IF(ISNUMBER(
   IF(D_I="SI",(Datos!K17-Datos!U17)/Datos!U17,(Datos!K17+Datos!AE17-(Datos!U17+Datos!AM17))/(Datos!U17+Datos!AM17))
     ),IF(D_I="SI",(Datos!K17-Datos!U17)/Datos!U17,(Datos!K17+Datos!AE17-(Datos!U17+Datos!AM17))/(Datos!U17+Datos!AM17))," - ")</f>
        <v>-0.4375</v>
      </c>
      <c r="E17" s="455">
        <f>IF(ISNUMBER(
   IF(D_I="SI",(Datos!L17-Datos!V17)/Datos!V17,(Datos!L17+Datos!AF17-(Datos!V17+Datos!AN17))/(Datos!V17+Datos!AN17))
     ),IF(D_I="SI",(Datos!L17-Datos!V17)/Datos!V17,(Datos!L17+Datos!AF17-(Datos!V17+Datos!AN17))/(Datos!V17+Datos!AN17))," - ")</f>
        <v>-0.15384615384615385</v>
      </c>
      <c r="F17" s="455">
        <f>IF(ISNUMBER((Datos!M17-Datos!W17)/Datos!W17),(Datos!M17-Datos!W17)/Datos!W17," - ")</f>
        <v>0.5</v>
      </c>
      <c r="G17" s="456">
        <f>IF(ISNUMBER((Datos!N17-Datos!X17)/Datos!X17),(Datos!N17-Datos!X17)/Datos!X17," - ")</f>
        <v>-0.5714285714285714</v>
      </c>
      <c r="H17" s="454">
        <f>IF(ISNUMBER(((NºAsuntos!G17/NºAsuntos!E17)-Datos!BD17)/Datos!BD17),((NºAsuntos!G17/NºAsuntos!E17)-Datos!BD17)/Datos!BD17," - ")</f>
        <v>1.109375</v>
      </c>
      <c r="I17" s="455">
        <f>IF(ISNUMBER(((NºAsuntos!I17/NºAsuntos!G17)-Datos!BE17)/Datos!BE17),((NºAsuntos!I17/NºAsuntos!G17)-Datos!BE17)/Datos!BE17," - ")</f>
        <v>0.50427350427350437</v>
      </c>
      <c r="J17" s="460">
        <f>IF(ISNUMBER((('Resol  Asuntos'!D17/NºAsuntos!G17)-Datos!BF17)/Datos!BF17),(('Resol  Asuntos'!D17/NºAsuntos!G17)-Datos!BF17)/Datos!BF17," - ")</f>
        <v>1.6666666666666667</v>
      </c>
      <c r="K17" s="461">
        <f>IF(ISNUMBER((((NºAsuntos!C17+NºAsuntos!E17)/NºAsuntos!G17)-Datos!BG17)/Datos!BG17),(((NºAsuntos!C17+NºAsuntos!E17)/NºAsuntos!G17)-Datos!BG17)/Datos!BG17," - ")</f>
        <v>0.22605363984674334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-7.2784810126582278E-2</v>
      </c>
      <c r="C18" s="854">
        <f>IF(ISNUMBER(
   IF(Criterios!B14="SI",(Datos!J18-Datos!T18)/Datos!T18,(Datos!J18+Datos!AD18-(Datos!T18+Datos!AL18))/(Datos!T18+Datos!AL18))
     ),IF(Criterios!B14="SI",(Datos!J18-Datos!T18)/Datos!T18,(Datos!J18+Datos!AD18-(Datos!T18+Datos!AL18))/(Datos!T18+Datos!AL18))," - ")</f>
        <v>-0.29873417721518986</v>
      </c>
      <c r="D18" s="854">
        <f>IF(ISNUMBER(
   IF(Criterios!B14="SI",(Datos!K18-Datos!U18)/Datos!U18,(Datos!K18+Datos!AE18-(Datos!U18+Datos!AM18))/(Datos!U18+Datos!AM18))
     ),IF(Criterios!B14="SI",(Datos!K18-Datos!U18)/Datos!U18,(Datos!K18+Datos!AE18-(Datos!U18+Datos!AM18))/(Datos!U18+Datos!AM18))," - ")</f>
        <v>-0.33776595744680848</v>
      </c>
      <c r="E18" s="854">
        <f>IF(ISNUMBER(
   IF(Criterios!B14="SI",(Datos!L18-Datos!V18)/Datos!V18,(Datos!L18+Datos!AF18-(Datos!V18+Datos!AN18))/(Datos!V18+Datos!AN18))
     ),IF(Criterios!B14="SI",(Datos!L18-Datos!V18)/Datos!V18,(Datos!L18+Datos!AF18-(Datos!V18+Datos!AN18))/(Datos!V18+Datos!AN18))," - ")</f>
        <v>-4.7058823529411764E-2</v>
      </c>
      <c r="F18" s="855">
        <f>IF(ISNUMBER((Datos!M18-Datos!W18)/Datos!W18),(Datos!M18-Datos!W18)/Datos!W18," - ")</f>
        <v>-0.3125</v>
      </c>
      <c r="G18" s="856">
        <f>IF(ISNUMBER((Datos!N18-Datos!X18)/Datos!X18),(Datos!N18-Datos!X18)/Datos!X18," - ")</f>
        <v>-0.23443223443223443</v>
      </c>
      <c r="H18" s="856">
        <f>IF(ISNUMBER(((NºAsuntos!G18/NºAsuntos!E18)-Datos!BD18)/Datos!BD18),((NºAsuntos!G18/NºAsuntos!E18)-Datos!BD18)/Datos!BD18," - ")</f>
        <v>-5.5659036792380323E-2</v>
      </c>
      <c r="I18" s="856">
        <f>IF(ISNUMBER(((NºAsuntos!I18/NºAsuntos!G18)-Datos!BE18)/Datos!BE18),((NºAsuntos!I18/NºAsuntos!G18)-Datos!BE18)/Datos!BE18," - ")</f>
        <v>0.43897944720056692</v>
      </c>
      <c r="J18" s="856">
        <f>IF(ISNUMBER((('Resol  Asuntos'!D18/NºAsuntos!G18)-Datos!BF18)/Datos!BF18),(('Resol  Asuntos'!D18/NºAsuntos!G18)-Datos!BF18)/Datos!BF18," - ")</f>
        <v>3.8152610441767119E-2</v>
      </c>
      <c r="K18" s="856">
        <f>IF(ISNUMBER((((NºAsuntos!C18+NºAsuntos!E18)/NºAsuntos!G18)-Datos!BG18)/Datos!BG18),(((NºAsuntos!C18+NºAsuntos!E18)/NºAsuntos!G18)-Datos!BG18)/Datos!BG18," - ")</f>
        <v>0.21058071950248253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-0.27793167128347185</v>
      </c>
      <c r="C19" s="801">
        <f>IF(ISNUMBER(
   IF(J_V="SI",(Datos!J19-Datos!T19)/Datos!T19,(Datos!J19+Datos!Z19-(Datos!T19+Datos!AH19))/(Datos!T19+Datos!AH19))
     ),IF(J_V="SI",(Datos!J19-Datos!T19)/Datos!T19,(Datos!J19+Datos!Z19-(Datos!T19+Datos!AH19))/(Datos!T19+Datos!AH19))," - ")</f>
        <v>-0.2537313432835821</v>
      </c>
      <c r="D19" s="801">
        <f>IF(ISNUMBER(
   IF(J_V="SI",(Datos!K19-Datos!U19)/Datos!U19,(Datos!K19+Datos!AA19-(Datos!U19+Datos!AI19))/(Datos!U19+Datos!AI19))
     ),IF(J_V="SI",(Datos!K19-Datos!U19)/Datos!U19,(Datos!K19+Datos!AA19-(Datos!U19+Datos!AI19))/(Datos!U19+Datos!AI19))," - ")</f>
        <v>-0.44818304172274565</v>
      </c>
      <c r="E19" s="801">
        <f>IF(ISNUMBER(
   IF(J_V="SI",(Datos!L19-Datos!V19)/Datos!V19,(Datos!L19+Datos!AB19-(Datos!V19+Datos!AJ19))/(Datos!V19+Datos!AJ19))
     ),IF(J_V="SI",(Datos!L19-Datos!V19)/Datos!V19,(Datos!L19+Datos!AB19-(Datos!V19+Datos!AJ19))/(Datos!V19+Datos!AJ19))," - ")</f>
        <v>-0.13793103448275862</v>
      </c>
      <c r="F19" s="802">
        <f>IF(ISNUMBER((Datos!M19-Datos!W19)/Datos!W19),(Datos!M19-Datos!W19)/Datos!W19," - ")</f>
        <v>-0.68867924528301883</v>
      </c>
      <c r="G19" s="803">
        <f>IF(ISNUMBER((Datos!N19-Datos!X19)/Datos!X19),(Datos!N19-Datos!X19)/Datos!X19," - ")</f>
        <v>-0.38108108108108107</v>
      </c>
      <c r="H19" s="804">
        <f>IF(ISNUMBER((Tasas!B19-Datos!BD19)/Datos!BD19),(Tasas!B19-Datos!BD19)/Datos!BD19," - ")</f>
        <v>-0.26056527590847922</v>
      </c>
      <c r="I19" s="805">
        <f>IF(ISNUMBER((Tasas!C19-Datos!BE19)/Datos!BE19),(Tasas!C19-Datos!BE19)/Datos!BE19," - ")</f>
        <v>0.56223717409587903</v>
      </c>
      <c r="J19" s="806">
        <f>IF(ISNUMBER((Tasas!D19-Datos!BF19)/Datos!BF19),(Tasas!D19-Datos!BF19)/Datos!BF19," - ")</f>
        <v>-0.53641520136131593</v>
      </c>
      <c r="K19" s="806">
        <f>IF(ISNUMBER((Tasas!E19-Datos!BG19)/Datos!BG19),(Tasas!E19-Datos!BG19)/Datos!BG19," - ")</f>
        <v>0.32529044286449721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dqq5FoROqlrfk2tRbytCIg8aDiQb906HIVSk6qPXhjQtecG+2vKUbaab+6tgFQoJyQL0aynyMlXhJnckboPGA==" saltValue="FfFw4NTdYLRDr6tFiXDZ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LLERENA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0.73181818181818181</v>
      </c>
      <c r="C12" s="442">
        <f>IF(ISNUMBER(NºAsuntos!I12/NºAsuntos!G12),NºAsuntos!I12/NºAsuntos!G12," - ")</f>
        <v>3.3913043478260869</v>
      </c>
      <c r="D12" s="443">
        <f>IF(ISNUMBER('Resol  Asuntos'!D12/NºAsuntos!G12),'Resol  Asuntos'!D12/NºAsuntos!G12," - ")</f>
        <v>6.8322981366459631E-2</v>
      </c>
      <c r="E12" s="444">
        <f>IF(ISNUMBER((NºAsuntos!C12+NºAsuntos!E12)/NºAsuntos!G12),(NºAsuntos!C12+NºAsuntos!E12)/NºAsuntos!G12," - ")</f>
        <v>4.3913043478260869</v>
      </c>
      <c r="G12" s="462"/>
    </row>
    <row r="13" spans="1:7" ht="14.25" thickTop="1" thickBot="1">
      <c r="A13" s="847" t="str">
        <f>Datos!A13</f>
        <v>TOTAL</v>
      </c>
      <c r="B13" s="857">
        <f>IF(ISNUMBER(NºAsuntos!G13/NºAsuntos!E13),NºAsuntos!G13/NºAsuntos!E13," - ")</f>
        <v>0.72197309417040356</v>
      </c>
      <c r="C13" s="858">
        <f>IF(ISNUMBER(NºAsuntos!I13/NºAsuntos!G13),NºAsuntos!I13/NºAsuntos!G13," - ")</f>
        <v>3.4223602484472049</v>
      </c>
      <c r="D13" s="859">
        <f>IF(ISNUMBER('Resol  Asuntos'!D13/NºAsuntos!G13),'Resol  Asuntos'!D13/NºAsuntos!G13," - ")</f>
        <v>6.8322981366459631E-2</v>
      </c>
      <c r="E13" s="860">
        <f>IF(ISNUMBER((NºAsuntos!C13+NºAsuntos!E13)/NºAsuntos!G13),(NºAsuntos!C13+NºAsuntos!E13)/NºAsuntos!G13," - ")</f>
        <v>4.4223602484472053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0.87912087912087911</v>
      </c>
      <c r="C16" s="442">
        <f>IF(ISNUMBER(NºAsuntos!I16/NºAsuntos!G16),NºAsuntos!I16/NºAsuntos!G16," - ")</f>
        <v>1.3041666666666667</v>
      </c>
      <c r="D16" s="443">
        <f>IF(ISNUMBER('Resol  Asuntos'!D16/NºAsuntos!G16),'Resol  Asuntos'!D16/NºAsuntos!G16," - ")</f>
        <v>5.4166666666666669E-2</v>
      </c>
      <c r="E16" s="444">
        <f>IF(ISNUMBER((NºAsuntos!C16+NºAsuntos!E16)/NºAsuntos!G16),(NºAsuntos!C16+NºAsuntos!E16)/NºAsuntos!G16," - ")</f>
        <v>2.2916666666666665</v>
      </c>
      <c r="G16" s="462"/>
    </row>
    <row r="17" spans="1:7" ht="21.75" thickBot="1">
      <c r="A17" s="401" t="str">
        <f>Datos!A17</f>
        <v>Jdos. Violencia contra la mujer/Secc Viol. TI.</v>
      </c>
      <c r="B17" s="441">
        <f>IF(ISNUMBER(NºAsuntos!G17/NºAsuntos!E17),NºAsuntos!G17/NºAsuntos!E17," - ")</f>
        <v>2.25</v>
      </c>
      <c r="C17" s="442">
        <f>IF(ISNUMBER(NºAsuntos!I17/NºAsuntos!G17),NºAsuntos!I17/NºAsuntos!G17," - ")</f>
        <v>1.2222222222222223</v>
      </c>
      <c r="D17" s="443">
        <f>IF(ISNUMBER('Resol  Asuntos'!D17/NºAsuntos!G17),'Resol  Asuntos'!D17/NºAsuntos!G17," - ")</f>
        <v>1</v>
      </c>
      <c r="E17" s="444">
        <f>IF(ISNUMBER((NºAsuntos!C17+NºAsuntos!E17)/NºAsuntos!G17),(NºAsuntos!C17+NºAsuntos!E17)/NºAsuntos!G17," - ")</f>
        <v>2.2222222222222223</v>
      </c>
      <c r="G17" s="462"/>
    </row>
    <row r="18" spans="1:7" ht="14.25" thickTop="1" thickBot="1">
      <c r="A18" s="847" t="str">
        <f>Datos!A18</f>
        <v>TOTAL</v>
      </c>
      <c r="B18" s="857">
        <f>IF(ISNUMBER(NºAsuntos!G18/NºAsuntos!E18),NºAsuntos!G18/NºAsuntos!E18," - ")</f>
        <v>0.89891696750902528</v>
      </c>
      <c r="C18" s="858">
        <f>IF(ISNUMBER(NºAsuntos!I18/NºAsuntos!G18),NºAsuntos!I18/NºAsuntos!G18," - ")</f>
        <v>1.3012048192771084</v>
      </c>
      <c r="D18" s="861">
        <f>IF(ISNUMBER('Resol  Asuntos'!D18/NºAsuntos!G18),'Resol  Asuntos'!D18/NºAsuntos!G18," - ")</f>
        <v>8.8353413654618476E-2</v>
      </c>
      <c r="E18" s="860">
        <f>IF(ISNUMBER((NºAsuntos!C18+NºAsuntos!E18)/NºAsuntos!G18),(NºAsuntos!C18+NºAsuntos!E18)/NºAsuntos!G18," - ")</f>
        <v>2.2891566265060241</v>
      </c>
      <c r="G18" s="462"/>
    </row>
    <row r="19" spans="1:7" ht="15.75" customHeight="1" thickTop="1" thickBot="1">
      <c r="A19" s="792" t="str">
        <f>Datos!A19</f>
        <v>TOTAL JURISDICCIONES</v>
      </c>
      <c r="B19" s="807">
        <f>IF(ISNUMBER(NºAsuntos!G19/NºAsuntos!E19),NºAsuntos!G19/NºAsuntos!E19," - ")</f>
        <v>0.82</v>
      </c>
      <c r="C19" s="808">
        <f>IF(ISNUMBER(NºAsuntos!I19/NºAsuntos!G19),NºAsuntos!I19/NºAsuntos!G19," - ")</f>
        <v>2.1341463414634148</v>
      </c>
      <c r="D19" s="809">
        <f>IF(ISNUMBER('Resol  Asuntos'!D19/NºAsuntos!G19),'Resol  Asuntos'!D19/NºAsuntos!G19," - ")</f>
        <v>8.0487804878048783E-2</v>
      </c>
      <c r="E19" s="810">
        <f>IF(ISNUMBER((NºAsuntos!C19+NºAsuntos!E19)/NºAsuntos!G19),(NºAsuntos!C19+NºAsuntos!E19)/NºAsuntos!G19," - ")</f>
        <v>3.126829268292683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HeAKeya1c5ye5uppinErEXqoUc2UbFjf8C1kF5cr4N5X3PykCymYMy/B6Cgt+WQzCmV+9xD6xPUYQR+PUedMA==" saltValue="l3mlt/86u1mrduZCaTGQ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LLERENA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74</v>
      </c>
      <c r="Y12" s="333">
        <f t="shared" si="0"/>
        <v>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v>
      </c>
      <c r="AJ12" s="228" t="str">
        <f>IF(ISNUMBER(Datos!BW12),Datos!BW12," - ")</f>
        <v xml:space="preserve"> - </v>
      </c>
      <c r="AK12" s="227" t="str">
        <f>IF(ISNUMBER(Datos!BX12),Datos!BX12," - ")</f>
        <v xml:space="preserve"> - </v>
      </c>
      <c r="AL12" s="242">
        <f>IF(ISNUMBER(NºAsuntos!G12/NºAsuntos!E12),NºAsuntos!G12/NºAsuntos!E12," - ")</f>
        <v>0.73181818181818181</v>
      </c>
      <c r="AM12" s="259">
        <f>IF(ISNUMBER(((NºAsuntos!I12/NºAsuntos!G12)*11)/factor_trimestre),((NºAsuntos!I12/NºAsuntos!G12)*11)/factor_trimestre," - ")</f>
        <v>10.17391304347826</v>
      </c>
      <c r="AN12" s="243">
        <f>IF(ISNUMBER('Resol  Asuntos'!D12/NºAsuntos!G12),'Resol  Asuntos'!D12/NºAsuntos!G12," - ")</f>
        <v>6.8322981366459631E-2</v>
      </c>
      <c r="AO12" s="244">
        <f>IF(ISNUMBER((NºAsuntos!C12+NºAsuntos!E12)/NºAsuntos!G12),(NºAsuntos!C12+NºAsuntos!E12)/NºAsuntos!G12," - ")</f>
        <v>4.3913043478260869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114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74</v>
      </c>
      <c r="Y13" s="867">
        <f t="shared" si="4"/>
        <v>74</v>
      </c>
      <c r="Z13" s="867">
        <f t="shared" si="4"/>
        <v>0</v>
      </c>
      <c r="AA13" s="867">
        <f t="shared" si="4"/>
        <v>5</v>
      </c>
      <c r="AB13" s="867">
        <f t="shared" si="4"/>
        <v>1139</v>
      </c>
      <c r="AC13" s="867">
        <f t="shared" si="4"/>
        <v>5</v>
      </c>
      <c r="AD13" s="867">
        <f t="shared" si="4"/>
        <v>0</v>
      </c>
      <c r="AE13" s="871">
        <f t="shared" si="4"/>
        <v>0</v>
      </c>
      <c r="AF13" s="864">
        <f t="shared" si="4"/>
        <v>0</v>
      </c>
      <c r="AG13" s="872">
        <f t="shared" si="4"/>
        <v>0</v>
      </c>
      <c r="AH13" s="869">
        <f t="shared" si="4"/>
        <v>0</v>
      </c>
      <c r="AI13" s="864">
        <f t="shared" si="4"/>
        <v>11</v>
      </c>
      <c r="AJ13" s="866">
        <f t="shared" si="4"/>
        <v>0</v>
      </c>
      <c r="AK13" s="869">
        <f>SUBTOTAL(9,AK9:AK12)</f>
        <v>0</v>
      </c>
      <c r="AL13" s="873">
        <f>IF(ISNUMBER(NºAsuntos!G13/NºAsuntos!E13),NºAsuntos!G13/NºAsuntos!E13," - ")</f>
        <v>0.72197309417040356</v>
      </c>
      <c r="AM13" s="873">
        <f>IF(ISNUMBER(((NºAsuntos!I13/NºAsuntos!G13)*11)/factor_trimestre),((NºAsuntos!I13/NºAsuntos!G13)*11)/factor_trimestre," - ")</f>
        <v>10.267080745341614</v>
      </c>
      <c r="AN13" s="874">
        <f>IF(ISNUMBER('Resol  Asuntos'!D13/NºAsuntos!G13),'Resol  Asuntos'!D13/NºAsuntos!G13," - ")</f>
        <v>6.8322981366459631E-2</v>
      </c>
      <c r="AO13" s="875">
        <f>IF(ISNUMBER((NºAsuntos!C13+NºAsuntos!E13)/NºAsuntos!G13),(NºAsuntos!C13+NºAsuntos!E13)/NºAsuntos!G13," - ")</f>
        <v>4.4223602484472053</v>
      </c>
      <c r="AP13" s="876" t="str">
        <f t="shared" si="2"/>
        <v xml:space="preserve"> - </v>
      </c>
      <c r="AQ13" s="876">
        <f>IF(ISNUMBER((H13-W13+K13)/(F13)),(H13-W13+K13)/(F13)," - ")</f>
        <v>0</v>
      </c>
      <c r="AR13" s="877">
        <f>IF(ISNUMBER((Datos!P13-Datos!Q13)/(Datos!R13-Datos!P13+Datos!Q13)),(Datos!P13-Datos!Q13)/(Datos!R13-Datos!P13+Datos!Q13)," - ")</f>
        <v>3.6396724294813464E-2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280</v>
      </c>
      <c r="G16" s="332">
        <f>IF(ISNUMBER(IF(D_I="SI",Datos!I16,Datos!I16+Datos!AC16)),IF(D_I="SI",Datos!I16,Datos!I16+Datos!AC16)," - ")</f>
        <v>277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240</v>
      </c>
      <c r="X16" s="225">
        <f>IF(ISNUMBER(Datos!Q16),Datos!Q16," - ")</f>
        <v>5</v>
      </c>
      <c r="Y16" s="333">
        <f t="shared" ref="Y16:Y17" si="7">SUM(W16:X16)</f>
        <v>245</v>
      </c>
      <c r="Z16" s="334" t="str">
        <f>IF(ISNUMBER(Datos!CC16),Datos!CC16," - ")</f>
        <v xml:space="preserve"> - </v>
      </c>
      <c r="AA16" s="331">
        <f>IF(ISNUMBER(IF(D_I="SI",Datos!L16,Datos!L16+Datos!AF16)),IF(D_I="SI",Datos!L16,Datos!L16+Datos!AF16)," - ")</f>
        <v>313</v>
      </c>
      <c r="AB16" s="333">
        <f>IF(ISNUMBER(Datos!R16),Datos!R16," - ")</f>
        <v>35</v>
      </c>
      <c r="AC16" s="333">
        <f t="shared" si="6"/>
        <v>348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0.87912087912087911</v>
      </c>
      <c r="AM16" s="259">
        <f>IF(ISNUMBER(((NºAsuntos!I16/NºAsuntos!G16)*11)/factor_trimestre),((NºAsuntos!I16/NºAsuntos!G16)*11)/factor_trimestre," - ")</f>
        <v>3.9125000000000001</v>
      </c>
      <c r="AN16" s="243">
        <f>IF(ISNUMBER('Resol  Asuntos'!D16/NºAsuntos!G16),'Resol  Asuntos'!D16/NºAsuntos!G16," - ")</f>
        <v>5.4166666666666669E-2</v>
      </c>
      <c r="AO16" s="244">
        <f>IF(ISNUMBER((NºAsuntos!C16+NºAsuntos!E16)/NºAsuntos!G16),(NºAsuntos!C16+NºAsuntos!E16)/NºAsuntos!G16," - ")</f>
        <v>2.2916666666666665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11</v>
      </c>
      <c r="AB17" s="333">
        <f>IF(ISNUMBER(Datos!R17),Datos!R17," - ")</f>
        <v>0</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2.25</v>
      </c>
      <c r="AM17" s="259">
        <f>IF(ISNUMBER(((NºAsuntos!I17/NºAsuntos!G17)*11)/factor_trimestre),((NºAsuntos!I17/NºAsuntos!G17)*11)/factor_trimestre," - ")</f>
        <v>3.6666666666666674</v>
      </c>
      <c r="AN17" s="243">
        <f>IF(ISNUMBER('Resol  Asuntos'!D17/NºAsuntos!G17),'Resol  Asuntos'!D17/NºAsuntos!G17," - ")</f>
        <v>1</v>
      </c>
      <c r="AO17" s="244">
        <f>IF(ISNUMBER((NºAsuntos!C17+NºAsuntos!E17)/NºAsuntos!G17),(NºAsuntos!C17+NºAsuntos!E17)/NºAsuntos!G17," - ")</f>
        <v>2.2222222222222223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280</v>
      </c>
      <c r="G18" s="865">
        <f>SUBTOTAL(9,G15:G17)</f>
        <v>293</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249</v>
      </c>
      <c r="X18" s="866">
        <f t="shared" si="11"/>
        <v>5</v>
      </c>
      <c r="Y18" s="867">
        <f t="shared" si="11"/>
        <v>254</v>
      </c>
      <c r="Z18" s="867">
        <f t="shared" si="11"/>
        <v>0</v>
      </c>
      <c r="AA18" s="867">
        <f t="shared" si="11"/>
        <v>324</v>
      </c>
      <c r="AB18" s="867">
        <f t="shared" si="11"/>
        <v>35</v>
      </c>
      <c r="AC18" s="867">
        <f t="shared" si="11"/>
        <v>359</v>
      </c>
      <c r="AD18" s="867">
        <f t="shared" si="11"/>
        <v>0</v>
      </c>
      <c r="AE18" s="871">
        <f t="shared" si="11"/>
        <v>0</v>
      </c>
      <c r="AF18" s="864">
        <f t="shared" si="11"/>
        <v>0</v>
      </c>
      <c r="AG18" s="872">
        <f t="shared" si="11"/>
        <v>0</v>
      </c>
      <c r="AH18" s="869">
        <f t="shared" si="11"/>
        <v>0</v>
      </c>
      <c r="AI18" s="864">
        <f t="shared" si="11"/>
        <v>22</v>
      </c>
      <c r="AJ18" s="866">
        <f t="shared" si="11"/>
        <v>0</v>
      </c>
      <c r="AK18" s="869">
        <f t="shared" si="11"/>
        <v>0</v>
      </c>
      <c r="AL18" s="873">
        <f>IF(ISNUMBER(NºAsuntos!G18/NºAsuntos!E18),NºAsuntos!G18/NºAsuntos!E18," - ")</f>
        <v>0.89891696750902528</v>
      </c>
      <c r="AM18" s="873">
        <f>IF(ISNUMBER(((NºAsuntos!I18/NºAsuntos!G18)*11)/factor_trimestre),((NºAsuntos!I18/NºAsuntos!G18)*11)/factor_trimestre," - ")</f>
        <v>3.9036144578313254</v>
      </c>
      <c r="AN18" s="874">
        <f>IF(ISNUMBER('Resol  Asuntos'!D18/NºAsuntos!G18),'Resol  Asuntos'!D18/NºAsuntos!G18," - ")</f>
        <v>8.8353413654618476E-2</v>
      </c>
      <c r="AO18" s="875">
        <f>IF(ISNUMBER((NºAsuntos!C18+NºAsuntos!E18)/NºAsuntos!G18),(NºAsuntos!C18+NºAsuntos!E18)/NºAsuntos!G18," - ")</f>
        <v>2.2891566265060241</v>
      </c>
      <c r="AP18" s="876" t="str">
        <f t="shared" si="2"/>
        <v xml:space="preserve"> - </v>
      </c>
      <c r="AQ18" s="876">
        <f>IF(ISNUMBER((H18-W18+K18)/(F18)),(H18-W18+K18)/(F18)," - ")</f>
        <v>-0.88928571428571423</v>
      </c>
      <c r="AR18" s="877">
        <f>IF(ISNUMBER((Datos!P18-Datos!Q18)/(Datos!R18-Datos!P18+Datos!Q18)),(Datos!P18-Datos!Q18)/(Datos!R18-Datos!P18+Datos!Q18)," - ")</f>
        <v>-5.4054054054054057E-2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282</v>
      </c>
      <c r="G19" s="820">
        <f t="shared" si="13"/>
        <v>295</v>
      </c>
      <c r="H19" s="819">
        <f t="shared" si="13"/>
        <v>0</v>
      </c>
      <c r="I19" s="821">
        <f t="shared" si="13"/>
        <v>0</v>
      </c>
      <c r="J19" s="821">
        <f t="shared" si="13"/>
        <v>0</v>
      </c>
      <c r="K19" s="880">
        <f t="shared" si="13"/>
        <v>0</v>
      </c>
      <c r="L19" s="821">
        <f t="shared" si="13"/>
        <v>117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249</v>
      </c>
      <c r="X19" s="820">
        <f t="shared" si="14"/>
        <v>79</v>
      </c>
      <c r="Y19" s="827">
        <f t="shared" si="14"/>
        <v>328</v>
      </c>
      <c r="Z19" s="827">
        <f t="shared" si="14"/>
        <v>0</v>
      </c>
      <c r="AA19" s="827">
        <f t="shared" si="14"/>
        <v>329</v>
      </c>
      <c r="AB19" s="827">
        <f t="shared" si="14"/>
        <v>1174</v>
      </c>
      <c r="AC19" s="827">
        <f t="shared" si="14"/>
        <v>364</v>
      </c>
      <c r="AD19" s="827">
        <f t="shared" si="14"/>
        <v>0</v>
      </c>
      <c r="AE19" s="829">
        <f t="shared" si="14"/>
        <v>0</v>
      </c>
      <c r="AF19" s="830">
        <f t="shared" si="14"/>
        <v>0</v>
      </c>
      <c r="AG19" s="831">
        <f t="shared" si="14"/>
        <v>0</v>
      </c>
      <c r="AH19" s="829">
        <f t="shared" si="14"/>
        <v>0</v>
      </c>
      <c r="AI19" s="819">
        <f t="shared" si="14"/>
        <v>33</v>
      </c>
      <c r="AJ19" s="819">
        <f t="shared" si="14"/>
        <v>0</v>
      </c>
      <c r="AK19" s="829">
        <f t="shared" si="14"/>
        <v>0</v>
      </c>
      <c r="AL19" s="883">
        <f>IF(ISNUMBER(NºAsuntos!G19/NºAsuntos!E19),NºAsuntos!G19/NºAsuntos!E19," - ")</f>
        <v>0.82</v>
      </c>
      <c r="AM19" s="884">
        <f>IF(ISNUMBER(((NºAsuntos!I19/NºAsuntos!G19)*11)/factor_trimestre),((NºAsuntos!I19/NºAsuntos!G19)*11)/factor_trimestre," - ")</f>
        <v>6.4024390243902447</v>
      </c>
      <c r="AN19" s="884">
        <f>IF(ISNUMBER('Resol  Asuntos'!D19/NºAsuntos!G19),'Resol  Asuntos'!D19/NºAsuntos!G19," - ")</f>
        <v>8.0487804878048783E-2</v>
      </c>
      <c r="AO19" s="885">
        <f>IF(ISNUMBER((NºAsuntos!C19+NºAsuntos!E19)/NºAsuntos!G19),(NºAsuntos!C19+NºAsuntos!E19)/NºAsuntos!G19," - ")</f>
        <v>3.126829268292683</v>
      </c>
      <c r="AP19" s="886" t="str">
        <f t="shared" si="2"/>
        <v xml:space="preserve"> - </v>
      </c>
      <c r="AQ19" s="887">
        <f>IF(OR(ISNUMBER(FIND("01",Criterios!A8,1)),ISNUMBER(FIND("02",Criterios!A8,1)),ISNUMBER(FIND("03",Criterios!A8,1)),ISNUMBER(FIND("04",Criterios!A8,1))),(I19-W19+K19)/(F19-K19),(H19-W19+K19)/(F19-K19))</f>
        <v>-0.88297872340425532</v>
      </c>
      <c r="AR19" s="888">
        <f>IF(ISNUMBER((Datos!P19-Datos!Q19)/(Datos!R19-Datos!P19+Datos!Q19)),(Datos!P19-Datos!Q19)/(Datos!R19-Datos!P19+Datos!Q19)," - ")</f>
        <v>3.345070422535211E-2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160.50337483471597</v>
      </c>
      <c r="G21" s="252">
        <f>IF(ISNUMBER(STDEV(G8:G18)),STDEV(G8:G18),"-")</f>
        <v>152.66139001070309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132.36427010337798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7.0710678118654755</v>
      </c>
      <c r="AJ21" s="251">
        <f t="shared" si="18"/>
        <v>0</v>
      </c>
      <c r="AK21" s="253">
        <f t="shared" si="18"/>
        <v>0</v>
      </c>
      <c r="AL21" s="248">
        <f t="shared" si="18"/>
        <v>0.7337301701483333</v>
      </c>
      <c r="AM21" s="249">
        <f t="shared" si="18"/>
        <v>3.5030800459816485</v>
      </c>
      <c r="AN21" s="249">
        <f t="shared" si="18"/>
        <v>0.41618002712384422</v>
      </c>
      <c r="AO21" s="250">
        <f t="shared" si="18"/>
        <v>1.1720433947418669</v>
      </c>
      <c r="AP21" s="290" t="str">
        <f t="shared" si="18"/>
        <v>-</v>
      </c>
      <c r="AQ21" s="291">
        <f t="shared" si="18"/>
        <v>0.6288199589837512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k2xAGZOCZy3xeOxNPmRPs6DwxISobI2wh0httc0VggrJh0sZxOT9Id0crWgeiwJJRGa0CCKT37VBdGP6RYULw==" saltValue="vrs//dCiJ9F8FYjwh8Fl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LLERENA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2</v>
      </c>
      <c r="F10" s="347">
        <f>IF(ISNUMBER((Datos!K10-Datos!U10)/Datos!U10),(Datos!K10-Datos!U10)/Datos!U10," - ")</f>
        <v>-1</v>
      </c>
      <c r="G10" s="348">
        <f>IF(ISNUMBER((Datos!L10-Datos!V10)/Datos!V10),(Datos!L10-Datos!V10)/Datos!V10," - ")</f>
        <v>4</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-0.85135135135135132</v>
      </c>
      <c r="I12" s="349">
        <f>IF(ISNUMBER((Tasas!C12-Datos!BE12)/Datos!BE12),(Tasas!C12-Datos!BE12)/Datos!BE12," - ")</f>
        <v>0.84156882982840919</v>
      </c>
      <c r="J12" s="348">
        <f>IF(ISNUMBER((Tasas!D12-Datos!BF12)/Datos!BF12),(Tasas!D12-Datos!BF12)/Datos!BF12," - ")</f>
        <v>-0.74220400845232759</v>
      </c>
      <c r="K12" s="350">
        <f>IF(ISNUMBER((Tasas!E12-Datos!BG12)/Datos!BG12),(Tasas!E12-Datos!BG12)/Datos!BG12," - ")</f>
        <v>0.5454013377926421</v>
      </c>
      <c r="M12" t="e">
        <f>IF(Monitorios="SI",Datos!CE12,0)</f>
        <v>#REF!</v>
      </c>
      <c r="N12" t="e">
        <f>IF(Monitorios="SI",Datos!CF12,0)</f>
        <v>#REF!</v>
      </c>
      <c r="O12" t="e">
        <f>IF(Monitorios="SI",Datos!CG12,0)</f>
        <v>#REF!</v>
      </c>
      <c r="P12" t="e">
        <f>IF(Monitorios="SI",Datos!CH12,0)</f>
        <v>#REF!</v>
      </c>
      <c r="Q12">
        <f>IF(J_V="SI",0,Datos!AG12)</f>
        <v>10</v>
      </c>
      <c r="R12">
        <f>IF(J_V="SI",0,Datos!AH12)</f>
        <v>28</v>
      </c>
      <c r="S12">
        <f>IF(J_V="SI",0,Datos!AI12)</f>
        <v>33</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-0.85135135135135132</v>
      </c>
      <c r="I13" s="356">
        <f>IF(ISNUMBER((Tasas!C13-Datos!BE13)/Datos!BE13),(Tasas!C13-Datos!BE13)/Datos!BE13," - ")</f>
        <v>0.86074994248907288</v>
      </c>
      <c r="J13" s="354">
        <f>IF(ISNUMBER((Tasas!D13-Datos!BF13)/Datos!BF13),(Tasas!D13-Datos!BF13)/Datos!BF13," - ")</f>
        <v>-0.74149964781968358</v>
      </c>
      <c r="K13" s="357">
        <f>IF(ISNUMBER((Tasas!E13-Datos!BG13)/Datos!BG13),(Tasas!E13-Datos!BG13)/Datos!BG13," - ")</f>
        <v>0.55758753472180844</v>
      </c>
      <c r="M13" t="e">
        <f>IF(Monitorios="SI",Datos!CE13,0)</f>
        <v>#REF!</v>
      </c>
      <c r="N13" t="e">
        <f>IF(Monitorios="SI",Datos!CF13,0)</f>
        <v>#REF!</v>
      </c>
      <c r="O13" t="e">
        <f>IF(Monitorios="SI",Datos!CG13,0)</f>
        <v>#REF!</v>
      </c>
      <c r="P13" t="e">
        <f>IF(Monitorios="SI",Datos!CH13,0)</f>
        <v>#REF!</v>
      </c>
      <c r="Q13">
        <f>IF(J_V="SI",0,Datos!AG13)</f>
        <v>10</v>
      </c>
      <c r="R13">
        <f>IF(J_V="SI",0,Datos!AH13)</f>
        <v>28</v>
      </c>
      <c r="S13">
        <f>IF(J_V="SI",0,Datos!AI13)</f>
        <v>33</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-8.2781456953642391E-2</v>
      </c>
      <c r="E16" s="347">
        <f>IF(ISNUMBER(
   IF(D_I="SI",(Datos!J16-Datos!T16)/Datos!T16,(Datos!J16+Datos!AD16-(Datos!T16+Datos!AL16))/(Datos!T16+Datos!AL16))
     ),IF(D_I="SI",(Datos!J16-Datos!T16)/Datos!T16,(Datos!J16+Datos!AD16-(Datos!T16+Datos!AL16))/(Datos!T16+Datos!AL16))," - ")</f>
        <v>-0.28157894736842104</v>
      </c>
      <c r="F16" s="347">
        <f>IF(ISNUMBER(
   IF(D_I="SI",(Datos!K16-Datos!U16)/Datos!U16,(Datos!K16+Datos!AE16-(Datos!U16+Datos!AM16))/(Datos!U16+Datos!AM16))
     ),IF(D_I="SI",(Datos!K16-Datos!U16)/Datos!U16,(Datos!K16+Datos!AE16-(Datos!U16+Datos!AM16))/(Datos!U16+Datos!AM16))," - ")</f>
        <v>-0.33333333333333331</v>
      </c>
      <c r="G16" s="348">
        <f>IF(ISNUMBER(
   IF(D_I="SI",(Datos!L16-Datos!V16)/Datos!V16,(Datos!L16+Datos!AF16-(Datos!V16+Datos!AN16))/(Datos!V16+Datos!AN16))
     ),IF(D_I="SI",(Datos!L16-Datos!V16)/Datos!V16,(Datos!L16+Datos!AF16-(Datos!V16+Datos!AN16))/(Datos!V16+Datos!AN16))," - ")</f>
        <v>-4.2813455657492352E-2</v>
      </c>
      <c r="H16" s="229">
        <f>IF(ISNUMBER((Datos!M16-Datos!W16)/Datos!W16),(Datos!M16-Datos!W16)/Datos!W16," - ")</f>
        <v>-0.5</v>
      </c>
      <c r="I16" s="349">
        <f>IF(ISNUMBER((Tasas!C16-Datos!BE16)/Datos!BE16),(Tasas!C16-Datos!BE16)/Datos!BE16," - ")</f>
        <v>0.43577981651376152</v>
      </c>
      <c r="J16" s="348">
        <f>IF(ISNUMBER((Tasas!D16-Datos!BF16)/Datos!BF16),(Tasas!D16-Datos!BF16)/Datos!BF16," - ")</f>
        <v>-0.24999999999999992</v>
      </c>
      <c r="K16" s="350">
        <f>IF(ISNUMBER((Tasas!E16-Datos!BG16)/Datos!BG16),(Tasas!E16-Datos!BG16)/Datos!BG16," - ")</f>
        <v>0.20967741935483866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0.14285714285714285</v>
      </c>
      <c r="E17" s="347">
        <f>IF(ISNUMBER(
   IF(D_I="SI",(Datos!J17-Datos!T17)/Datos!T17,(Datos!J17+Datos!AD17-(Datos!T17+Datos!AL17))/(Datos!T17+Datos!AL17))
     ),IF(D_I="SI",(Datos!J17-Datos!T17)/Datos!T17,(Datos!J17+Datos!AD17-(Datos!T17+Datos!AL17))/(Datos!T17+Datos!AL17))," - ")</f>
        <v>-0.73333333333333328</v>
      </c>
      <c r="F17" s="347">
        <f>IF(ISNUMBER(
   IF(D_I="SI",(Datos!K17-Datos!U17)/Datos!U17,(Datos!K17+Datos!AE17-(Datos!U17+Datos!AM17))/(Datos!U17+Datos!AM17))
     ),IF(D_I="SI",(Datos!K17-Datos!U17)/Datos!U17,(Datos!K17+Datos!AE17-(Datos!U17+Datos!AM17))/(Datos!U17+Datos!AM17))," - ")</f>
        <v>-0.4375</v>
      </c>
      <c r="G17" s="348">
        <f>IF(ISNUMBER(
   IF(D_I="SI",(Datos!L17-Datos!V17)/Datos!V17,(Datos!L17+Datos!AF17-(Datos!V17+Datos!AN17))/(Datos!V17+Datos!AN17))
     ),IF(D_I="SI",(Datos!L17-Datos!V17)/Datos!V17,(Datos!L17+Datos!AF17-(Datos!V17+Datos!AN17))/(Datos!V17+Datos!AN17))," - ")</f>
        <v>-0.15384615384615385</v>
      </c>
      <c r="H17" s="229">
        <f>IF(ISNUMBER((Datos!M17-Datos!W17)/Datos!W17),(Datos!M17-Datos!W17)/Datos!W17," - ")</f>
        <v>0.5</v>
      </c>
      <c r="I17" s="349">
        <f>IF(ISNUMBER((Tasas!C17-Datos!BE17)/Datos!BE17),(Tasas!C17-Datos!BE17)/Datos!BE17," - ")</f>
        <v>0.50427350427350437</v>
      </c>
      <c r="J17" s="348">
        <f>IF(ISNUMBER((Tasas!D17-Datos!BF17)/Datos!BF17),(Tasas!D17-Datos!BF17)/Datos!BF17," - ")</f>
        <v>1.6666666666666667</v>
      </c>
      <c r="K17" s="350">
        <f>IF(ISNUMBER((Tasas!E17-Datos!BG17)/Datos!BG17),(Tasas!E17-Datos!BG17)/Datos!BG17," - ")</f>
        <v>0.22605363984674334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-7.2784810126582278E-2</v>
      </c>
      <c r="E18" s="353">
        <f>IF(ISNUMBER(
   IF(D_I="SI",(Datos!J18-Datos!T18)/Datos!T18,(Datos!J18+Datos!AD18-(Datos!T18+Datos!AL18))/(Datos!T18+Datos!AL18))
     ),IF(D_I="SI",(Datos!J18-Datos!T18)/Datos!T18,(Datos!J18+Datos!AD18-(Datos!T18+Datos!AL18))/(Datos!T18+Datos!AL18))," - ")</f>
        <v>-0.29873417721518986</v>
      </c>
      <c r="F18" s="353">
        <f>IF(ISNUMBER(
   IF(D_I="SI",(Datos!K18-Datos!U18)/Datos!U18,(Datos!K18+Datos!AE18-(Datos!U18+Datos!AM18))/(Datos!U18+Datos!AM18))
     ),IF(D_I="SI",(Datos!K18-Datos!U18)/Datos!U18,(Datos!K18+Datos!AE18-(Datos!U18+Datos!AM18))/(Datos!U18+Datos!AM18))," - ")</f>
        <v>-0.33776595744680848</v>
      </c>
      <c r="G18" s="354">
        <f>IF(ISNUMBER(
   IF(D_I="SI",(Datos!L18-Datos!V18)/Datos!V18,(Datos!L18+Datos!AF18-(Datos!V18+Datos!AN18))/(Datos!V18+Datos!AN18))
     ),IF(D_I="SI",(Datos!L18-Datos!V18)/Datos!V18,(Datos!L18+Datos!AF18-(Datos!V18+Datos!AN18))/(Datos!V18+Datos!AN18))," - ")</f>
        <v>-4.7058823529411764E-2</v>
      </c>
      <c r="H18" s="355">
        <f>IF(ISNUMBER((Datos!M18-Datos!W18)/Datos!W18),(Datos!M18-Datos!W18)/Datos!W18," - ")</f>
        <v>-0.3125</v>
      </c>
      <c r="I18" s="356">
        <f>IF(ISNUMBER((Tasas!C18-Datos!BE18)/Datos!BE18),(Tasas!C18-Datos!BE18)/Datos!BE18," - ")</f>
        <v>0.43897944720056692</v>
      </c>
      <c r="J18" s="354">
        <f>IF(ISNUMBER((Tasas!D18-Datos!BF18)/Datos!BF18),(Tasas!D18-Datos!BF18)/Datos!BF18," - ")</f>
        <v>3.8152610441767119E-2</v>
      </c>
      <c r="K18" s="357">
        <f>IF(ISNUMBER((Tasas!E18-Datos!BG18)/Datos!BG18),(Tasas!E18-Datos!BG18)/Datos!BG18," - ")</f>
        <v>0.21058071950248253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-0.27793167128347185</v>
      </c>
      <c r="E19" s="362">
        <f>IF(ISNUMBER(
   IF(J_V="SI",(Datos!J19-Datos!T19)/Datos!T19,(Datos!J19+Datos!Z19-(Datos!T19+Datos!AH19))/(Datos!T19+Datos!AH19))
     ),IF(J_V="SI",(Datos!J19-Datos!T19)/Datos!T19,(Datos!J19+Datos!Z19-(Datos!T19+Datos!AH19))/(Datos!T19+Datos!AH19))," - ")</f>
        <v>-0.2537313432835821</v>
      </c>
      <c r="F19" s="362">
        <f>IF(ISNUMBER(
   IF(J_V="SI",(Datos!K19-Datos!U19)/Datos!U19,(Datos!K19+Datos!AA19-(Datos!U19+Datos!AI19))/(Datos!U19+Datos!AI19))
     ),IF(J_V="SI",(Datos!K19-Datos!U19)/Datos!U19,(Datos!K19+Datos!AA19-(Datos!U19+Datos!AI19))/(Datos!U19+Datos!AI19))," - ")</f>
        <v>-0.44818304172274565</v>
      </c>
      <c r="G19" s="363">
        <f>IF(ISNUMBER(
   IF(J_V="SI",(Datos!L19-Datos!V19)/Datos!V19,(Datos!L19+Datos!AB19-(Datos!V19+Datos!AJ19))/(Datos!V19+Datos!AJ19))
     ),IF(J_V="SI",(Datos!L19-Datos!V19)/Datos!V19,(Datos!L19+Datos!AB19-(Datos!V19+Datos!AJ19))/(Datos!V19+Datos!AJ19))," - ")</f>
        <v>-0.13793103448275862</v>
      </c>
      <c r="H19" s="364">
        <f>IF(ISNUMBER((Datos!M19-Datos!W19)/Datos!W19),(Datos!M19-Datos!W19)/Datos!W19," - ")</f>
        <v>-0.68867924528301883</v>
      </c>
      <c r="I19" s="361">
        <f>IF(ISNUMBER((Tasas!C19-Datos!BE19)/Datos!BE19),(Tasas!C19-Datos!BE19)/Datos!BE19," - ")</f>
        <v>0.56223717409587903</v>
      </c>
      <c r="J19" s="362">
        <f>IF(ISNUMBER((Tasas!D19-Datos!BF19)/Datos!BF19),(Tasas!D19-Datos!BF19)/Datos!BF19," - ")</f>
        <v>-0.53641520136131593</v>
      </c>
      <c r="K19" s="363">
        <f>IF(ISNUMBER((Tasas!E19-Datos!BG19)/Datos!BG19),(Tasas!E19-Datos!BG19)/Datos!BG19," - ")</f>
        <v>0.32529044286449721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0.51279389723284474</v>
      </c>
      <c r="E21" s="277">
        <f t="shared" si="1"/>
        <v>1.2367344492429559</v>
      </c>
      <c r="F21" s="277">
        <f t="shared" si="1"/>
        <v>0.31888109636218182</v>
      </c>
      <c r="G21" s="278">
        <f t="shared" si="1"/>
        <v>2.0412662215176356</v>
      </c>
      <c r="H21" s="284">
        <f t="shared" si="1"/>
        <v>0.55566314217776958</v>
      </c>
      <c r="I21" s="276">
        <f t="shared" si="1"/>
        <v>0.21626480672018503</v>
      </c>
      <c r="J21" s="277">
        <f t="shared" si="1"/>
        <v>0.99275564161942487</v>
      </c>
      <c r="K21" s="278">
        <f t="shared" si="1"/>
        <v>0.18423153379232651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8MqH1TvVQ5B6gkSJoDVmr0MwxTD8ixYYHHB8LIQrYK9VNsy/U2EvRdpI3AJB5zjgHOFXVfoN8nmzbufYCd1NA==" saltValue="+TeCUsyW7xrudTQdDekc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